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F:\Processos Licitatórios\Licitação Vigilância\LICITAÇÃO _ PLANILHA\"/>
    </mc:Choice>
  </mc:AlternateContent>
  <xr:revisionPtr revIDLastSave="0" documentId="8_{3363C537-ADED-4402-9191-79F96F046686}" xr6:coauthVersionLast="47" xr6:coauthVersionMax="47" xr10:uidLastSave="{00000000-0000-0000-0000-000000000000}"/>
  <bookViews>
    <workbookView xWindow="-20610" yWindow="2100" windowWidth="20730" windowHeight="11160" tabRatio="781" xr2:uid="{00000000-000D-0000-FFFF-FFFF00000000}"/>
  </bookViews>
  <sheets>
    <sheet name="Resumo - Estimativa de Preço" sheetId="14" r:id="rId1"/>
    <sheet name="Custo por trabalhador" sheetId="2" r:id="rId2"/>
    <sheet name="Posto D-12x36" sheetId="3" r:id="rId3"/>
    <sheet name="Posto N-12x36" sheetId="4" r:id="rId4"/>
    <sheet name="Posto MOT CG D-12x36" sheetId="5" r:id="rId5"/>
    <sheet name="Posto MOT CG N-12x36" sheetId="7" r:id="rId6"/>
    <sheet name="Posto MOT TER D-12x36" sheetId="15" r:id="rId7"/>
    <sheet name="Posto MOT TER N-12x36" sheetId="16" r:id="rId8"/>
    <sheet name="Uniformes" sheetId="8" r:id="rId9"/>
    <sheet name="Materiais" sheetId="9" r:id="rId10"/>
    <sheet name="Equipamentos" sheetId="10" r:id="rId11"/>
  </sheets>
  <calcPr calcId="191029"/>
</workbook>
</file>

<file path=xl/calcChain.xml><?xml version="1.0" encoding="utf-8"?>
<calcChain xmlns="http://schemas.openxmlformats.org/spreadsheetml/2006/main">
  <c r="C45" i="2" l="1"/>
  <c r="B47" i="4" l="1"/>
  <c r="B47" i="5"/>
  <c r="B47" i="7"/>
  <c r="B47" i="15"/>
  <c r="B47" i="16"/>
  <c r="B47" i="3"/>
  <c r="B46" i="4"/>
  <c r="B46" i="5"/>
  <c r="B46" i="7"/>
  <c r="B46" i="15"/>
  <c r="B46" i="16"/>
  <c r="B46" i="3"/>
  <c r="B45" i="4"/>
  <c r="B45" i="5"/>
  <c r="B45" i="7"/>
  <c r="B45" i="15"/>
  <c r="B45" i="16"/>
  <c r="B45" i="3"/>
  <c r="E426" i="2" l="1"/>
  <c r="C15" i="15" l="1"/>
  <c r="C15" i="5"/>
  <c r="C13" i="4"/>
  <c r="C15" i="3"/>
  <c r="C13" i="3"/>
  <c r="C107" i="16"/>
  <c r="C106" i="16"/>
  <c r="C105" i="16"/>
  <c r="C69" i="16"/>
  <c r="C65" i="16"/>
  <c r="C39" i="16"/>
  <c r="C38" i="16"/>
  <c r="C37" i="16"/>
  <c r="C36" i="16"/>
  <c r="C35" i="16"/>
  <c r="C34" i="16"/>
  <c r="C33" i="16"/>
  <c r="C32" i="16"/>
  <c r="B16" i="16"/>
  <c r="B15" i="16"/>
  <c r="B14" i="16"/>
  <c r="B13" i="16"/>
  <c r="B12" i="16"/>
  <c r="B11" i="16"/>
  <c r="C107" i="15"/>
  <c r="C106" i="15"/>
  <c r="C105" i="15"/>
  <c r="C69" i="15"/>
  <c r="C65" i="15"/>
  <c r="C39" i="15"/>
  <c r="C38" i="15"/>
  <c r="C37" i="15"/>
  <c r="C36" i="15"/>
  <c r="C35" i="15"/>
  <c r="C34" i="15"/>
  <c r="C33" i="15"/>
  <c r="C32" i="15"/>
  <c r="B16" i="15"/>
  <c r="B15" i="15"/>
  <c r="B14" i="15"/>
  <c r="B13" i="15"/>
  <c r="B12" i="15"/>
  <c r="B11" i="15"/>
  <c r="C465" i="2" l="1"/>
  <c r="D415" i="2"/>
  <c r="D416" i="2"/>
  <c r="C402" i="2"/>
  <c r="C403" i="2"/>
  <c r="E379" i="2"/>
  <c r="E378" i="2"/>
  <c r="C368" i="2"/>
  <c r="E344" i="2"/>
  <c r="E343" i="2"/>
  <c r="C335" i="2"/>
  <c r="C333" i="2"/>
  <c r="E284" i="2"/>
  <c r="E285" i="2"/>
  <c r="B236" i="2"/>
  <c r="D236" i="2" s="1"/>
  <c r="C247" i="2" s="1"/>
  <c r="B237" i="2"/>
  <c r="D237" i="2"/>
  <c r="C248" i="2" s="1"/>
  <c r="C225" i="2"/>
  <c r="C226" i="2"/>
  <c r="E201" i="2"/>
  <c r="C212" i="2" s="1"/>
  <c r="E202" i="2"/>
  <c r="C213" i="2" s="1"/>
  <c r="E190" i="2"/>
  <c r="B212" i="2" s="1"/>
  <c r="C191" i="2"/>
  <c r="C164" i="2"/>
  <c r="C165" i="2"/>
  <c r="C153" i="2"/>
  <c r="C154" i="2"/>
  <c r="C116" i="2"/>
  <c r="D116" i="2"/>
  <c r="C117" i="2"/>
  <c r="D117" i="2"/>
  <c r="C105" i="2"/>
  <c r="C106" i="2"/>
  <c r="C94" i="2"/>
  <c r="C95" i="2"/>
  <c r="C80" i="2"/>
  <c r="C12" i="16" s="1"/>
  <c r="C79" i="2"/>
  <c r="C12" i="15" s="1"/>
  <c r="B80" i="2"/>
  <c r="C11" i="16" s="1"/>
  <c r="B79" i="2"/>
  <c r="C11" i="15" s="1"/>
  <c r="C67" i="2"/>
  <c r="C66" i="2"/>
  <c r="B37" i="2"/>
  <c r="D37" i="2" s="1"/>
  <c r="E80" i="2" s="1"/>
  <c r="C14" i="16" s="1"/>
  <c r="B36" i="2"/>
  <c r="D36" i="2" s="1"/>
  <c r="E79" i="2" s="1"/>
  <c r="C14" i="15" s="1"/>
  <c r="B26" i="2"/>
  <c r="B25" i="2"/>
  <c r="D25" i="2" s="1"/>
  <c r="D79" i="2" s="1"/>
  <c r="C13" i="15" s="1"/>
  <c r="D26" i="2"/>
  <c r="D80" i="2" s="1"/>
  <c r="C13" i="16" s="1"/>
  <c r="D212" i="2" l="1"/>
  <c r="B284" i="2" s="1"/>
  <c r="C45" i="15" s="1"/>
  <c r="E191" i="2"/>
  <c r="B213" i="2" s="1"/>
  <c r="D213" i="2" s="1"/>
  <c r="B285" i="2" s="1"/>
  <c r="C45" i="16" s="1"/>
  <c r="C611" i="2"/>
  <c r="C612" i="2"/>
  <c r="F15" i="10"/>
  <c r="F16" i="10" s="1"/>
  <c r="F17" i="10" s="1"/>
  <c r="F18" i="10" s="1"/>
  <c r="C549" i="2"/>
  <c r="C548" i="2"/>
  <c r="A549" i="2"/>
  <c r="A548" i="2"/>
  <c r="D573" i="2"/>
  <c r="C573" i="2"/>
  <c r="B573" i="2"/>
  <c r="A573" i="2"/>
  <c r="E16" i="10"/>
  <c r="D22" i="9"/>
  <c r="B549" i="2" s="1"/>
  <c r="C17" i="14"/>
  <c r="D16" i="14"/>
  <c r="D15" i="14"/>
  <c r="E23" i="9"/>
  <c r="D21" i="9"/>
  <c r="F21" i="9" s="1"/>
  <c r="E573" i="2" l="1"/>
  <c r="E574" i="2" s="1"/>
  <c r="G24" i="9"/>
  <c r="G25" i="9" s="1"/>
  <c r="D548" i="2"/>
  <c r="D550" i="2" s="1"/>
  <c r="F22" i="9"/>
  <c r="D549" i="2" s="1"/>
  <c r="D551" i="2" s="1"/>
  <c r="B548" i="2"/>
  <c r="D17" i="14"/>
  <c r="G21" i="9"/>
  <c r="G22" i="9" l="1"/>
  <c r="G23" i="9" s="1"/>
  <c r="G26" i="9"/>
  <c r="G27" i="9" s="1"/>
  <c r="F23" i="9"/>
  <c r="D6" i="14"/>
  <c r="D7" i="14"/>
  <c r="D8" i="14"/>
  <c r="D9" i="14"/>
  <c r="C10" i="14"/>
  <c r="C20" i="14" s="1"/>
  <c r="D10" i="14" l="1"/>
  <c r="C21" i="14" s="1"/>
  <c r="F7" i="10" l="1"/>
  <c r="E568" i="2" s="1"/>
  <c r="F6" i="10"/>
  <c r="E567" i="2" s="1"/>
  <c r="F5" i="10"/>
  <c r="E566" i="2" s="1"/>
  <c r="E569" i="2" l="1"/>
  <c r="B580" i="2" l="1"/>
  <c r="C580" i="2" s="1"/>
  <c r="D580" i="2" s="1"/>
  <c r="B578" i="2"/>
  <c r="B585" i="2"/>
  <c r="B583" i="2"/>
  <c r="C583" i="2" s="1"/>
  <c r="D583" i="2" s="1"/>
  <c r="D594" i="2" s="1"/>
  <c r="C98" i="16" s="1"/>
  <c r="B584" i="2"/>
  <c r="B582" i="2"/>
  <c r="C582" i="2" s="1"/>
  <c r="D582" i="2" s="1"/>
  <c r="D593" i="2" s="1"/>
  <c r="C98" i="15" s="1"/>
  <c r="B581" i="2"/>
  <c r="B579" i="2"/>
  <c r="A568" i="2" l="1"/>
  <c r="B568" i="2"/>
  <c r="C568" i="2"/>
  <c r="D568" i="2"/>
  <c r="D567" i="2"/>
  <c r="C567" i="2"/>
  <c r="B567" i="2"/>
  <c r="A567" i="2"/>
  <c r="D566" i="2"/>
  <c r="C566" i="2"/>
  <c r="B566" i="2"/>
  <c r="A566" i="2"/>
  <c r="B536" i="2"/>
  <c r="C536" i="2"/>
  <c r="B537" i="2"/>
  <c r="C537" i="2"/>
  <c r="B538" i="2"/>
  <c r="C538" i="2"/>
  <c r="B539" i="2"/>
  <c r="C539" i="2"/>
  <c r="B540" i="2"/>
  <c r="C540" i="2"/>
  <c r="B541" i="2"/>
  <c r="C541" i="2"/>
  <c r="B542" i="2"/>
  <c r="C542" i="2"/>
  <c r="B543" i="2"/>
  <c r="C543" i="2"/>
  <c r="C535" i="2"/>
  <c r="C534" i="2"/>
  <c r="B535" i="2"/>
  <c r="B534" i="2"/>
  <c r="A541" i="2"/>
  <c r="A542" i="2"/>
  <c r="A543" i="2"/>
  <c r="A536" i="2"/>
  <c r="A537" i="2"/>
  <c r="A538" i="2"/>
  <c r="A539" i="2"/>
  <c r="A540" i="2"/>
  <c r="A535" i="2"/>
  <c r="A534" i="2"/>
  <c r="B511" i="2"/>
  <c r="C511" i="2"/>
  <c r="B512" i="2"/>
  <c r="C512" i="2"/>
  <c r="B513" i="2"/>
  <c r="C513" i="2"/>
  <c r="B514" i="2"/>
  <c r="C514" i="2"/>
  <c r="B515" i="2"/>
  <c r="C515" i="2"/>
  <c r="B516" i="2"/>
  <c r="C516" i="2"/>
  <c r="B517" i="2"/>
  <c r="C517" i="2"/>
  <c r="B518" i="2"/>
  <c r="C518" i="2"/>
  <c r="C510" i="2"/>
  <c r="C509" i="2"/>
  <c r="B510" i="2"/>
  <c r="B509" i="2"/>
  <c r="A517" i="2"/>
  <c r="A518" i="2"/>
  <c r="A511" i="2"/>
  <c r="A512" i="2"/>
  <c r="A513" i="2"/>
  <c r="A514" i="2"/>
  <c r="A515" i="2"/>
  <c r="A516" i="2"/>
  <c r="A510" i="2"/>
  <c r="A509" i="2"/>
  <c r="A6" i="10"/>
  <c r="A7" i="10" s="1"/>
  <c r="E8" i="10"/>
  <c r="F13" i="9"/>
  <c r="G13" i="9" s="1"/>
  <c r="F12" i="9"/>
  <c r="E15" i="9"/>
  <c r="F14" i="9"/>
  <c r="G14" i="9" s="1"/>
  <c r="F11" i="9"/>
  <c r="G11" i="9" s="1"/>
  <c r="F10" i="9"/>
  <c r="G10" i="9" s="1"/>
  <c r="F9" i="9"/>
  <c r="G9" i="9" s="1"/>
  <c r="F8" i="9"/>
  <c r="G8" i="9" s="1"/>
  <c r="F7" i="9"/>
  <c r="G7" i="9" s="1"/>
  <c r="F6" i="9"/>
  <c r="G6" i="9" s="1"/>
  <c r="A6" i="9"/>
  <c r="A7" i="9" s="1"/>
  <c r="A8" i="9" s="1"/>
  <c r="A9" i="9" s="1"/>
  <c r="A10" i="9" s="1"/>
  <c r="A11" i="9" s="1"/>
  <c r="A12" i="9" s="1"/>
  <c r="A13" i="9" s="1"/>
  <c r="A14" i="9" s="1"/>
  <c r="F5" i="9"/>
  <c r="G5" i="9" s="1"/>
  <c r="F7" i="8"/>
  <c r="G7" i="8" s="1"/>
  <c r="F8" i="8"/>
  <c r="G8" i="8" s="1"/>
  <c r="F9" i="8"/>
  <c r="G9" i="8" s="1"/>
  <c r="F10" i="8"/>
  <c r="G10" i="8" s="1"/>
  <c r="F11" i="8"/>
  <c r="G11" i="8" s="1"/>
  <c r="F12" i="8"/>
  <c r="G12" i="8" s="1"/>
  <c r="F13" i="8"/>
  <c r="G13" i="8" s="1"/>
  <c r="F14" i="8"/>
  <c r="G14" i="8" s="1"/>
  <c r="F6" i="8"/>
  <c r="G6" i="8" s="1"/>
  <c r="F5" i="8"/>
  <c r="G5" i="8" s="1"/>
  <c r="E15" i="8"/>
  <c r="A6" i="8"/>
  <c r="A7" i="8" s="1"/>
  <c r="A8" i="8" s="1"/>
  <c r="A9" i="8" s="1"/>
  <c r="A10" i="8" s="1"/>
  <c r="A11" i="8" s="1"/>
  <c r="A12" i="8" s="1"/>
  <c r="A13" i="8" s="1"/>
  <c r="A14" i="8" s="1"/>
  <c r="G15" i="8" l="1"/>
  <c r="G12" i="9"/>
  <c r="G15" i="9" s="1"/>
  <c r="D538" i="2"/>
  <c r="D536" i="2"/>
  <c r="D543" i="2"/>
  <c r="D541" i="2"/>
  <c r="D534" i="2"/>
  <c r="D535" i="2"/>
  <c r="D542" i="2"/>
  <c r="D540" i="2"/>
  <c r="D539" i="2"/>
  <c r="D537" i="2"/>
  <c r="D509" i="2"/>
  <c r="D514" i="2"/>
  <c r="D515" i="2"/>
  <c r="D510" i="2"/>
  <c r="D518" i="2"/>
  <c r="D516" i="2"/>
  <c r="D513" i="2"/>
  <c r="D511" i="2"/>
  <c r="D517" i="2"/>
  <c r="D512" i="2"/>
  <c r="F8" i="10"/>
  <c r="F9" i="10" s="1"/>
  <c r="F10" i="10" s="1"/>
  <c r="F15" i="9"/>
  <c r="G16" i="9" s="1"/>
  <c r="G17" i="9" s="1"/>
  <c r="F15" i="8"/>
  <c r="G16" i="8" s="1"/>
  <c r="G17" i="8" s="1"/>
  <c r="D544" i="2" l="1"/>
  <c r="D519" i="2"/>
  <c r="B528" i="2" l="1"/>
  <c r="C528" i="2" s="1"/>
  <c r="B527" i="2"/>
  <c r="C527" i="2" s="1"/>
  <c r="B557" i="2"/>
  <c r="C557" i="2" s="1"/>
  <c r="C591" i="2" s="1"/>
  <c r="C97" i="5" s="1"/>
  <c r="B559" i="2"/>
  <c r="C559" i="2" s="1"/>
  <c r="C593" i="2" s="1"/>
  <c r="C97" i="15" s="1"/>
  <c r="B561" i="2"/>
  <c r="C561" i="2" s="1"/>
  <c r="C595" i="2" s="1"/>
  <c r="B560" i="2"/>
  <c r="C560" i="2" s="1"/>
  <c r="C594" i="2" s="1"/>
  <c r="C97" i="16" s="1"/>
  <c r="B558" i="2"/>
  <c r="C558" i="2" s="1"/>
  <c r="C592" i="2" s="1"/>
  <c r="C97" i="7" s="1"/>
  <c r="B556" i="2"/>
  <c r="B562" i="2"/>
  <c r="C562" i="2" s="1"/>
  <c r="C596" i="2" s="1"/>
  <c r="B555" i="2"/>
  <c r="C555" i="2" s="1"/>
  <c r="C589" i="2" s="1"/>
  <c r="C97" i="3" s="1"/>
  <c r="C556" i="2"/>
  <c r="C590" i="2" s="1"/>
  <c r="C97" i="4" s="1"/>
  <c r="B526" i="2"/>
  <c r="C526" i="2" s="1"/>
  <c r="B529" i="2"/>
  <c r="C529" i="2" s="1"/>
  <c r="B593" i="2" s="1"/>
  <c r="B524" i="2"/>
  <c r="C524" i="2" s="1"/>
  <c r="B530" i="2"/>
  <c r="C530" i="2" s="1"/>
  <c r="B594" i="2" s="1"/>
  <c r="B525" i="2"/>
  <c r="C525" i="2" s="1"/>
  <c r="B523" i="2"/>
  <c r="C523" i="2" s="1"/>
  <c r="E593" i="2" l="1"/>
  <c r="F633" i="2" s="1"/>
  <c r="C123" i="15" s="1"/>
  <c r="C96" i="15"/>
  <c r="C100" i="15" s="1"/>
  <c r="E594" i="2"/>
  <c r="G633" i="2" s="1"/>
  <c r="C123" i="16" s="1"/>
  <c r="C96" i="16"/>
  <c r="C100" i="16" s="1"/>
  <c r="B51" i="2"/>
  <c r="B50" i="2"/>
  <c r="B46" i="2"/>
  <c r="B45" i="2"/>
  <c r="C33" i="5"/>
  <c r="C34" i="5"/>
  <c r="C35" i="5"/>
  <c r="C36" i="5"/>
  <c r="C37" i="5"/>
  <c r="C38" i="5"/>
  <c r="C39" i="5"/>
  <c r="C33" i="7"/>
  <c r="C34" i="7"/>
  <c r="C35" i="7"/>
  <c r="C36" i="7"/>
  <c r="C37" i="7"/>
  <c r="C38" i="7"/>
  <c r="C39" i="7"/>
  <c r="C33" i="4"/>
  <c r="C34" i="4"/>
  <c r="C35" i="4"/>
  <c r="C36" i="4"/>
  <c r="C37" i="4"/>
  <c r="C38" i="4"/>
  <c r="C39" i="4"/>
  <c r="C32" i="5"/>
  <c r="C32" i="7"/>
  <c r="C32" i="4"/>
  <c r="B16" i="5"/>
  <c r="B16" i="7"/>
  <c r="B16" i="4"/>
  <c r="B15" i="5"/>
  <c r="B15" i="7"/>
  <c r="B15" i="4"/>
  <c r="B14" i="5"/>
  <c r="B14" i="7"/>
  <c r="B14" i="4"/>
  <c r="B13" i="5"/>
  <c r="B13" i="7"/>
  <c r="B13" i="4"/>
  <c r="B12" i="5"/>
  <c r="B12" i="7"/>
  <c r="B12" i="4"/>
  <c r="B11" i="5"/>
  <c r="B11" i="7"/>
  <c r="B11" i="4"/>
  <c r="C33" i="3"/>
  <c r="C34" i="3"/>
  <c r="C35" i="3"/>
  <c r="C36" i="3"/>
  <c r="C37" i="3"/>
  <c r="C38" i="3"/>
  <c r="C39" i="3"/>
  <c r="C32" i="3"/>
  <c r="B14" i="3"/>
  <c r="B16" i="3"/>
  <c r="B15" i="3"/>
  <c r="B12" i="3"/>
  <c r="B13" i="3"/>
  <c r="B11" i="3"/>
  <c r="D262" i="2"/>
  <c r="D258" i="2"/>
  <c r="D260" i="2" s="1"/>
  <c r="D284" i="2" s="1"/>
  <c r="C47" i="15" s="1"/>
  <c r="D257" i="2"/>
  <c r="D263" i="2" s="1"/>
  <c r="B192" i="2"/>
  <c r="B188" i="2"/>
  <c r="B24" i="2"/>
  <c r="B23" i="2"/>
  <c r="B12" i="2"/>
  <c r="D259" i="2" l="1"/>
  <c r="D261" i="2" s="1"/>
  <c r="D285" i="2" s="1"/>
  <c r="C47" i="16" s="1"/>
  <c r="B222" i="2"/>
  <c r="B223" i="2" s="1"/>
  <c r="B224" i="2" s="1"/>
  <c r="B227" i="2" l="1"/>
  <c r="B228" i="2" s="1"/>
  <c r="B225" i="2"/>
  <c r="C69" i="7"/>
  <c r="C65" i="7"/>
  <c r="C69" i="5"/>
  <c r="C65" i="5"/>
  <c r="E381" i="2"/>
  <c r="E380" i="2"/>
  <c r="E377" i="2"/>
  <c r="E376" i="2"/>
  <c r="E375" i="2"/>
  <c r="E374" i="2"/>
  <c r="C610" i="2"/>
  <c r="C609" i="2"/>
  <c r="C581" i="2"/>
  <c r="D591" i="2"/>
  <c r="C98" i="5" s="1"/>
  <c r="B592" i="2"/>
  <c r="B591" i="2"/>
  <c r="C401" i="2"/>
  <c r="C400" i="2"/>
  <c r="C463" i="2"/>
  <c r="C366" i="2"/>
  <c r="E342" i="2"/>
  <c r="E341" i="2"/>
  <c r="E340" i="2"/>
  <c r="C331" i="2"/>
  <c r="E283" i="2"/>
  <c r="E282" i="2"/>
  <c r="D283" i="2"/>
  <c r="C47" i="7" s="1"/>
  <c r="C224" i="2"/>
  <c r="D224" i="2" s="1"/>
  <c r="B246" i="2" s="1"/>
  <c r="C223" i="2"/>
  <c r="D223" i="2" s="1"/>
  <c r="B245" i="2" s="1"/>
  <c r="C189" i="2"/>
  <c r="E188" i="2"/>
  <c r="B210" i="2" s="1"/>
  <c r="C163" i="2"/>
  <c r="C162" i="2"/>
  <c r="C152" i="2"/>
  <c r="C151" i="2"/>
  <c r="D115" i="2"/>
  <c r="C115" i="2"/>
  <c r="D114" i="2"/>
  <c r="C114" i="2"/>
  <c r="C104" i="2"/>
  <c r="C103" i="2"/>
  <c r="C93" i="2"/>
  <c r="C92" i="2"/>
  <c r="C78" i="2"/>
  <c r="C12" i="7" s="1"/>
  <c r="C77" i="2"/>
  <c r="C12" i="5" s="1"/>
  <c r="C65" i="2"/>
  <c r="C64" i="2"/>
  <c r="C48" i="5" l="1"/>
  <c r="C48" i="15"/>
  <c r="C48" i="7"/>
  <c r="C48" i="16"/>
  <c r="C96" i="5"/>
  <c r="C100" i="5" s="1"/>
  <c r="E591" i="2"/>
  <c r="D633" i="2" s="1"/>
  <c r="C123" i="5" s="1"/>
  <c r="C96" i="7"/>
  <c r="B226" i="2"/>
  <c r="D226" i="2" s="1"/>
  <c r="B248" i="2" s="1"/>
  <c r="D248" i="2" s="1"/>
  <c r="C285" i="2" s="1"/>
  <c r="D225" i="2"/>
  <c r="B247" i="2" s="1"/>
  <c r="D247" i="2" s="1"/>
  <c r="C284" i="2" s="1"/>
  <c r="D581" i="2"/>
  <c r="D592" i="2" s="1"/>
  <c r="C98" i="7" s="1"/>
  <c r="D282" i="2"/>
  <c r="C47" i="5" s="1"/>
  <c r="C69" i="4"/>
  <c r="C65" i="4"/>
  <c r="C69" i="3"/>
  <c r="C65" i="3"/>
  <c r="E592" i="2" l="1"/>
  <c r="E633" i="2" s="1"/>
  <c r="C123" i="7" s="1"/>
  <c r="C100" i="7"/>
  <c r="F284" i="2"/>
  <c r="D297" i="2" s="1"/>
  <c r="C56" i="15" s="1"/>
  <c r="C46" i="15"/>
  <c r="C49" i="15" s="1"/>
  <c r="F285" i="2"/>
  <c r="D298" i="2" s="1"/>
  <c r="C56" i="16" s="1"/>
  <c r="C46" i="16"/>
  <c r="C49" i="16" s="1"/>
  <c r="E346" i="2"/>
  <c r="E345" i="2"/>
  <c r="E339" i="2"/>
  <c r="C68" i="2" l="1"/>
  <c r="C69" i="2"/>
  <c r="C63" i="2"/>
  <c r="C62" i="2"/>
  <c r="B232" i="2" l="1"/>
  <c r="B235" i="2"/>
  <c r="D235" i="2" s="1"/>
  <c r="C246" i="2" s="1"/>
  <c r="D246" i="2" s="1"/>
  <c r="B234" i="2"/>
  <c r="D234" i="2" s="1"/>
  <c r="C245" i="2" s="1"/>
  <c r="D245" i="2" s="1"/>
  <c r="B200" i="2"/>
  <c r="E200" i="2" s="1"/>
  <c r="C211" i="2" s="1"/>
  <c r="B233" i="2"/>
  <c r="B199" i="2"/>
  <c r="E199" i="2" s="1"/>
  <c r="C210" i="2" s="1"/>
  <c r="D210" i="2" s="1"/>
  <c r="B33" i="2"/>
  <c r="B77" i="2"/>
  <c r="C11" i="5" s="1"/>
  <c r="B35" i="2"/>
  <c r="D35" i="2" s="1"/>
  <c r="B78" i="2"/>
  <c r="C11" i="7" s="1"/>
  <c r="B34" i="2"/>
  <c r="D34" i="2" s="1"/>
  <c r="B66" i="2" s="1"/>
  <c r="D66" i="2" s="1"/>
  <c r="G79" i="2" s="1"/>
  <c r="B238" i="2"/>
  <c r="B239" i="2" s="1"/>
  <c r="B38" i="2"/>
  <c r="B32" i="2"/>
  <c r="B39" i="2"/>
  <c r="C364" i="2"/>
  <c r="C329" i="2"/>
  <c r="H79" i="2" l="1"/>
  <c r="B116" i="2" s="1"/>
  <c r="E116" i="2" s="1"/>
  <c r="C16" i="15"/>
  <c r="C18" i="15" s="1"/>
  <c r="C282" i="2"/>
  <c r="C46" i="5" s="1"/>
  <c r="B282" i="2"/>
  <c r="C45" i="5" s="1"/>
  <c r="C283" i="2"/>
  <c r="C46" i="7" s="1"/>
  <c r="E78" i="2"/>
  <c r="C14" i="7" s="1"/>
  <c r="D24" i="2"/>
  <c r="D78" i="2" s="1"/>
  <c r="C13" i="7" s="1"/>
  <c r="E77" i="2"/>
  <c r="C14" i="5" s="1"/>
  <c r="D23" i="2"/>
  <c r="D77" i="2" s="1"/>
  <c r="C13" i="5" s="1"/>
  <c r="C107" i="7"/>
  <c r="C106" i="7"/>
  <c r="C105" i="7"/>
  <c r="C107" i="5"/>
  <c r="C106" i="5"/>
  <c r="C105" i="5"/>
  <c r="C107" i="4"/>
  <c r="C106" i="4"/>
  <c r="C105" i="4"/>
  <c r="C106" i="3"/>
  <c r="C107" i="3"/>
  <c r="C105" i="3"/>
  <c r="B94" i="2" l="1"/>
  <c r="D94" i="2" s="1"/>
  <c r="B127" i="2" s="1"/>
  <c r="C25" i="15" s="1"/>
  <c r="D127" i="2"/>
  <c r="D391" i="2"/>
  <c r="B106" i="2"/>
  <c r="D106" i="2" s="1"/>
  <c r="C128" i="2" s="1"/>
  <c r="B105" i="2"/>
  <c r="D105" i="2" s="1"/>
  <c r="C391" i="2" s="1"/>
  <c r="F629" i="2"/>
  <c r="C119" i="15" s="1"/>
  <c r="C585" i="2"/>
  <c r="C584" i="2"/>
  <c r="C579" i="2"/>
  <c r="D579" i="2" s="1"/>
  <c r="D590" i="2" s="1"/>
  <c r="C98" i="4" s="1"/>
  <c r="C578" i="2"/>
  <c r="D578" i="2" s="1"/>
  <c r="D589" i="2" s="1"/>
  <c r="C98" i="3" s="1"/>
  <c r="B590" i="2"/>
  <c r="B589" i="2"/>
  <c r="B391" i="2" l="1"/>
  <c r="E391" i="2"/>
  <c r="B402" i="2" s="1"/>
  <c r="D402" i="2" s="1"/>
  <c r="E589" i="2"/>
  <c r="B633" i="2" s="1"/>
  <c r="C123" i="3" s="1"/>
  <c r="C96" i="3"/>
  <c r="C100" i="3" s="1"/>
  <c r="E590" i="2"/>
  <c r="C633" i="2" s="1"/>
  <c r="C123" i="4" s="1"/>
  <c r="C96" i="4"/>
  <c r="C100" i="4" s="1"/>
  <c r="C127" i="2"/>
  <c r="E127" i="2" s="1"/>
  <c r="B297" i="2" s="1"/>
  <c r="C392" i="2"/>
  <c r="D585" i="2"/>
  <c r="D596" i="2" s="1"/>
  <c r="D584" i="2"/>
  <c r="D595" i="2" s="1"/>
  <c r="C398" i="2"/>
  <c r="C26" i="15" l="1"/>
  <c r="C27" i="15" s="1"/>
  <c r="D37" i="15" s="1"/>
  <c r="C54" i="15"/>
  <c r="B356" i="2"/>
  <c r="B321" i="2"/>
  <c r="B164" i="2"/>
  <c r="D164" i="2" s="1"/>
  <c r="B332" i="2" s="1"/>
  <c r="D332" i="2" s="1"/>
  <c r="D343" i="2" s="1"/>
  <c r="D64" i="15" s="1"/>
  <c r="B153" i="2"/>
  <c r="D153" i="2" s="1"/>
  <c r="B175" i="2" s="1"/>
  <c r="B378" i="2"/>
  <c r="D66" i="15" s="1"/>
  <c r="B343" i="2"/>
  <c r="D62" i="15" s="1"/>
  <c r="B187" i="2"/>
  <c r="D46" i="2"/>
  <c r="D38" i="15" l="1"/>
  <c r="D34" i="15"/>
  <c r="D33" i="15"/>
  <c r="D32" i="15"/>
  <c r="B367" i="2"/>
  <c r="D367" i="2" s="1"/>
  <c r="D378" i="2" s="1"/>
  <c r="D68" i="15" s="1"/>
  <c r="D39" i="15"/>
  <c r="D35" i="15"/>
  <c r="D36" i="15"/>
  <c r="D40" i="15" s="1"/>
  <c r="C175" i="2"/>
  <c r="D175" i="2" s="1"/>
  <c r="C297" i="2" s="1"/>
  <c r="C55" i="15" s="1"/>
  <c r="C321" i="2"/>
  <c r="C343" i="2" s="1"/>
  <c r="D63" i="15" s="1"/>
  <c r="C356" i="2"/>
  <c r="F343" i="2"/>
  <c r="B189" i="2"/>
  <c r="E189" i="2" s="1"/>
  <c r="B211" i="2" s="1"/>
  <c r="D211" i="2" s="1"/>
  <c r="B283" i="2" s="1"/>
  <c r="B193" i="2"/>
  <c r="C149" i="2"/>
  <c r="C57" i="15" l="1"/>
  <c r="E297" i="2"/>
  <c r="F630" i="2" s="1"/>
  <c r="C120" i="15" s="1"/>
  <c r="D321" i="2"/>
  <c r="B415" i="2"/>
  <c r="D65" i="15"/>
  <c r="C378" i="2"/>
  <c r="D356" i="2"/>
  <c r="C45" i="7"/>
  <c r="F283" i="2"/>
  <c r="D296" i="2" s="1"/>
  <c r="C56" i="7" s="1"/>
  <c r="D33" i="2"/>
  <c r="D32" i="2"/>
  <c r="F378" i="2" l="1"/>
  <c r="D67" i="15"/>
  <c r="B62" i="2"/>
  <c r="D62" i="2" s="1"/>
  <c r="G75" i="2" s="1"/>
  <c r="C16" i="3" s="1"/>
  <c r="B64" i="2"/>
  <c r="D64" i="2" s="1"/>
  <c r="G77" i="2" s="1"/>
  <c r="C16" i="5" s="1"/>
  <c r="D39" i="2"/>
  <c r="D38" i="2"/>
  <c r="B68" i="2" s="1"/>
  <c r="D68" i="2" s="1"/>
  <c r="G81" i="2" s="1"/>
  <c r="B595" i="2"/>
  <c r="E595" i="2" s="1"/>
  <c r="B596" i="2"/>
  <c r="E596" i="2" s="1"/>
  <c r="C415" i="2" l="1"/>
  <c r="E415" i="2" s="1"/>
  <c r="D69" i="15"/>
  <c r="C608" i="2"/>
  <c r="C111" i="16" s="1"/>
  <c r="C613" i="2"/>
  <c r="C614" i="2"/>
  <c r="C607" i="2"/>
  <c r="C111" i="15" s="1"/>
  <c r="D70" i="15" l="1"/>
  <c r="F631" i="2"/>
  <c r="C121" i="15" s="1"/>
  <c r="B464" i="2"/>
  <c r="D464" i="2" s="1"/>
  <c r="B475" i="2" s="1"/>
  <c r="C111" i="5"/>
  <c r="C111" i="3"/>
  <c r="C111" i="4"/>
  <c r="C111" i="7"/>
  <c r="B19" i="2"/>
  <c r="D19" i="2" s="1"/>
  <c r="D50" i="2"/>
  <c r="D51" i="2"/>
  <c r="C81" i="2" l="1"/>
  <c r="C82" i="2"/>
  <c r="B145" i="2"/>
  <c r="C40" i="15" l="1"/>
  <c r="C67" i="15" s="1"/>
  <c r="C40" i="16"/>
  <c r="C67" i="16" s="1"/>
  <c r="C40" i="3"/>
  <c r="C67" i="3" s="1"/>
  <c r="C40" i="4"/>
  <c r="C67" i="4" s="1"/>
  <c r="C40" i="5"/>
  <c r="C67" i="5" s="1"/>
  <c r="C40" i="7"/>
  <c r="C67" i="7" s="1"/>
  <c r="C461" i="2"/>
  <c r="C485" i="2"/>
  <c r="C405" i="2"/>
  <c r="C404" i="2"/>
  <c r="C399" i="2"/>
  <c r="E287" i="2"/>
  <c r="D287" i="2"/>
  <c r="E286" i="2"/>
  <c r="D286" i="2"/>
  <c r="E281" i="2"/>
  <c r="C48" i="4" s="1"/>
  <c r="D281" i="2"/>
  <c r="C47" i="4" s="1"/>
  <c r="E280" i="2"/>
  <c r="C48" i="3" s="1"/>
  <c r="D280" i="2"/>
  <c r="C47" i="3" s="1"/>
  <c r="C228" i="2"/>
  <c r="C227" i="2"/>
  <c r="C222" i="2"/>
  <c r="C221" i="2"/>
  <c r="D221" i="2" s="1"/>
  <c r="D232" i="2" s="1"/>
  <c r="C243" i="2" s="1"/>
  <c r="B204" i="2"/>
  <c r="E204" i="2" s="1"/>
  <c r="C215" i="2" s="1"/>
  <c r="B203" i="2"/>
  <c r="E203" i="2" s="1"/>
  <c r="C214" i="2" s="1"/>
  <c r="B198" i="2"/>
  <c r="E198" i="2" s="1"/>
  <c r="C209" i="2" s="1"/>
  <c r="B197" i="2"/>
  <c r="E197" i="2" s="1"/>
  <c r="C208" i="2" s="1"/>
  <c r="E186" i="2"/>
  <c r="B208" i="2" s="1"/>
  <c r="C187" i="2"/>
  <c r="C161" i="2"/>
  <c r="C166" i="2"/>
  <c r="C167" i="2"/>
  <c r="C160" i="2"/>
  <c r="C150" i="2"/>
  <c r="C155" i="2"/>
  <c r="C156" i="2"/>
  <c r="E187" i="2" l="1"/>
  <c r="B209" i="2" s="1"/>
  <c r="D209" i="2" s="1"/>
  <c r="D208" i="2"/>
  <c r="D227" i="2"/>
  <c r="D222" i="2"/>
  <c r="B243" i="2"/>
  <c r="D243" i="2" s="1"/>
  <c r="C91" i="2"/>
  <c r="C96" i="2"/>
  <c r="C97" i="2"/>
  <c r="C90" i="2"/>
  <c r="D113" i="2"/>
  <c r="D118" i="2"/>
  <c r="D119" i="2"/>
  <c r="D112" i="2"/>
  <c r="C113" i="2"/>
  <c r="C118" i="2"/>
  <c r="C119" i="2"/>
  <c r="C112" i="2"/>
  <c r="C102" i="2"/>
  <c r="C107" i="2"/>
  <c r="C108" i="2"/>
  <c r="C101" i="2"/>
  <c r="B82" i="2"/>
  <c r="B81" i="2"/>
  <c r="B76" i="2"/>
  <c r="C11" i="4" s="1"/>
  <c r="B75" i="2"/>
  <c r="C11" i="3" s="1"/>
  <c r="C51" i="2"/>
  <c r="C50" i="2"/>
  <c r="C46" i="2"/>
  <c r="B18" i="2"/>
  <c r="D18" i="2" s="1"/>
  <c r="E75" i="2"/>
  <c r="C14" i="3" s="1"/>
  <c r="H77" i="2" l="1"/>
  <c r="B281" i="2"/>
  <c r="C18" i="5"/>
  <c r="C280" i="2"/>
  <c r="C46" i="3" s="1"/>
  <c r="C49" i="5"/>
  <c r="B280" i="2"/>
  <c r="C45" i="3" s="1"/>
  <c r="C76" i="2"/>
  <c r="C12" i="4" s="1"/>
  <c r="C75" i="2"/>
  <c r="C12" i="3" s="1"/>
  <c r="E50" i="2"/>
  <c r="C55" i="2" s="1"/>
  <c r="E81" i="2"/>
  <c r="H81" i="2" s="1"/>
  <c r="E51" i="2"/>
  <c r="D228" i="2"/>
  <c r="D233" i="2"/>
  <c r="C244" i="2" s="1"/>
  <c r="B244" i="2"/>
  <c r="B249" i="2"/>
  <c r="D238" i="2"/>
  <c r="C249" i="2" s="1"/>
  <c r="E437" i="2"/>
  <c r="C453" i="2" s="1"/>
  <c r="E436" i="2"/>
  <c r="B452" i="2" s="1"/>
  <c r="E435" i="2"/>
  <c r="C451" i="2" s="1"/>
  <c r="E434" i="2"/>
  <c r="B450" i="2" s="1"/>
  <c r="E433" i="2"/>
  <c r="C449" i="2" s="1"/>
  <c r="E432" i="2"/>
  <c r="B448" i="2" s="1"/>
  <c r="E431" i="2"/>
  <c r="B447" i="2" s="1"/>
  <c r="E430" i="2"/>
  <c r="C446" i="2" s="1"/>
  <c r="E429" i="2"/>
  <c r="C445" i="2" s="1"/>
  <c r="E428" i="2"/>
  <c r="E427" i="2"/>
  <c r="B443" i="2" s="1"/>
  <c r="C442" i="2"/>
  <c r="B311" i="2"/>
  <c r="B107" i="2" l="1"/>
  <c r="D107" i="2" s="1"/>
  <c r="B103" i="2"/>
  <c r="D103" i="2" s="1"/>
  <c r="B104" i="2"/>
  <c r="C45" i="4"/>
  <c r="F282" i="2"/>
  <c r="D295" i="2" s="1"/>
  <c r="C56" i="5" s="1"/>
  <c r="B114" i="2"/>
  <c r="E114" i="2" s="1"/>
  <c r="D629" i="2"/>
  <c r="C119" i="5" s="1"/>
  <c r="B92" i="2"/>
  <c r="D92" i="2" s="1"/>
  <c r="H75" i="2"/>
  <c r="C18" i="3"/>
  <c r="B118" i="2"/>
  <c r="E118" i="2" s="1"/>
  <c r="B96" i="2"/>
  <c r="D96" i="2" s="1"/>
  <c r="C56" i="2"/>
  <c r="F280" i="2"/>
  <c r="D293" i="2" s="1"/>
  <c r="C56" i="3" s="1"/>
  <c r="C49" i="3"/>
  <c r="E76" i="2"/>
  <c r="C14" i="4" s="1"/>
  <c r="E45" i="2"/>
  <c r="B55" i="2" s="1"/>
  <c r="D244" i="2"/>
  <c r="D249" i="2"/>
  <c r="C286" i="2" s="1"/>
  <c r="E46" i="2"/>
  <c r="B56" i="2" s="1"/>
  <c r="E82" i="2"/>
  <c r="B250" i="2"/>
  <c r="D239" i="2"/>
  <c r="C250" i="2" s="1"/>
  <c r="E192" i="2"/>
  <c r="B214" i="2" s="1"/>
  <c r="D214" i="2" s="1"/>
  <c r="B286" i="2" s="1"/>
  <c r="B445" i="2"/>
  <c r="B453" i="2"/>
  <c r="B442" i="2"/>
  <c r="C450" i="2"/>
  <c r="B451" i="2"/>
  <c r="B446" i="2"/>
  <c r="C448" i="2"/>
  <c r="B449" i="2"/>
  <c r="B444" i="2"/>
  <c r="C444" i="2"/>
  <c r="C447" i="2"/>
  <c r="C443" i="2"/>
  <c r="C452" i="2"/>
  <c r="B112" i="2" l="1"/>
  <c r="E112" i="2" s="1"/>
  <c r="D387" i="2" s="1"/>
  <c r="B101" i="2"/>
  <c r="D101" i="2"/>
  <c r="C387" i="2" s="1"/>
  <c r="B125" i="2"/>
  <c r="C25" i="5" s="1"/>
  <c r="B389" i="2"/>
  <c r="C125" i="2"/>
  <c r="C389" i="2"/>
  <c r="D125" i="2"/>
  <c r="D389" i="2"/>
  <c r="B90" i="2"/>
  <c r="D90" i="2" s="1"/>
  <c r="B123" i="2" s="1"/>
  <c r="C25" i="3" s="1"/>
  <c r="B629" i="2"/>
  <c r="C119" i="3" s="1"/>
  <c r="C281" i="2"/>
  <c r="C49" i="7"/>
  <c r="D56" i="2"/>
  <c r="F82" i="2" s="1"/>
  <c r="D55" i="2"/>
  <c r="F286" i="2"/>
  <c r="D299" i="2" s="1"/>
  <c r="D250" i="2"/>
  <c r="C287" i="2" s="1"/>
  <c r="E193" i="2"/>
  <c r="B215" i="2" s="1"/>
  <c r="D215" i="2" s="1"/>
  <c r="B287" i="2" s="1"/>
  <c r="C393" i="2"/>
  <c r="C129" i="2"/>
  <c r="B393" i="2"/>
  <c r="B129" i="2"/>
  <c r="D129" i="2"/>
  <c r="D393" i="2"/>
  <c r="B454" i="2"/>
  <c r="C454" i="2"/>
  <c r="D123" i="2" l="1"/>
  <c r="C26" i="5"/>
  <c r="C27" i="5" s="1"/>
  <c r="F80" i="2"/>
  <c r="B67" i="2"/>
  <c r="D67" i="2" s="1"/>
  <c r="G80" i="2" s="1"/>
  <c r="C16" i="16" s="1"/>
  <c r="B65" i="2"/>
  <c r="D65" i="2" s="1"/>
  <c r="G78" i="2" s="1"/>
  <c r="C16" i="7" s="1"/>
  <c r="C474" i="2"/>
  <c r="C476" i="2"/>
  <c r="C473" i="2"/>
  <c r="C475" i="2"/>
  <c r="D475" i="2" s="1"/>
  <c r="E475" i="2" s="1"/>
  <c r="B500" i="2" s="1"/>
  <c r="C77" i="15" s="1"/>
  <c r="C78" i="15" s="1"/>
  <c r="C89" i="15" s="1"/>
  <c r="C123" i="2"/>
  <c r="B387" i="2"/>
  <c r="E387" i="2" s="1"/>
  <c r="B398" i="2" s="1"/>
  <c r="D398" i="2" s="1"/>
  <c r="D411" i="2" s="1"/>
  <c r="F281" i="2"/>
  <c r="C46" i="4"/>
  <c r="C49" i="4" s="1"/>
  <c r="B69" i="2"/>
  <c r="D69" i="2" s="1"/>
  <c r="G82" i="2" s="1"/>
  <c r="H82" i="2" s="1"/>
  <c r="F78" i="2"/>
  <c r="C15" i="7" s="1"/>
  <c r="F76" i="2"/>
  <c r="C15" i="4" s="1"/>
  <c r="B63" i="2"/>
  <c r="D63" i="2" s="1"/>
  <c r="G76" i="2" s="1"/>
  <c r="C16" i="4" s="1"/>
  <c r="F287" i="2"/>
  <c r="D300" i="2" s="1"/>
  <c r="C472" i="2"/>
  <c r="C478" i="2"/>
  <c r="C471" i="2"/>
  <c r="C477" i="2"/>
  <c r="B108" i="2" l="1"/>
  <c r="D108" i="2" s="1"/>
  <c r="C130" i="2" s="1"/>
  <c r="C26" i="3"/>
  <c r="C27" i="3" s="1"/>
  <c r="C15" i="16"/>
  <c r="C18" i="16" s="1"/>
  <c r="H80" i="2"/>
  <c r="D39" i="5"/>
  <c r="D37" i="5"/>
  <c r="D35" i="5"/>
  <c r="D33" i="5"/>
  <c r="D38" i="5"/>
  <c r="D36" i="5"/>
  <c r="D34" i="5"/>
  <c r="D32" i="5"/>
  <c r="E123" i="2"/>
  <c r="B160" i="2" s="1"/>
  <c r="D160" i="2" s="1"/>
  <c r="C317" i="2" s="1"/>
  <c r="C339" i="2" s="1"/>
  <c r="D63" i="3" s="1"/>
  <c r="D294" i="2"/>
  <c r="C56" i="4" s="1"/>
  <c r="H78" i="2"/>
  <c r="B119" i="2"/>
  <c r="E119" i="2" s="1"/>
  <c r="D394" i="2" s="1"/>
  <c r="B97" i="2"/>
  <c r="D97" i="2" s="1"/>
  <c r="B130" i="2" s="1"/>
  <c r="D104" i="2"/>
  <c r="H76" i="2"/>
  <c r="C18" i="7"/>
  <c r="B293" i="2" l="1"/>
  <c r="C54" i="3" s="1"/>
  <c r="B102" i="2"/>
  <c r="D102" i="2" s="1"/>
  <c r="B317" i="2"/>
  <c r="B115" i="2"/>
  <c r="E115" i="2" s="1"/>
  <c r="D390" i="2" s="1"/>
  <c r="D32" i="3"/>
  <c r="D34" i="3"/>
  <c r="D37" i="3"/>
  <c r="D39" i="3"/>
  <c r="D33" i="3"/>
  <c r="D38" i="3"/>
  <c r="D35" i="3"/>
  <c r="D36" i="3"/>
  <c r="D40" i="3" s="1"/>
  <c r="G629" i="2"/>
  <c r="C119" i="16" s="1"/>
  <c r="B95" i="2"/>
  <c r="D95" i="2" s="1"/>
  <c r="B117" i="2"/>
  <c r="E117" i="2" s="1"/>
  <c r="B149" i="2"/>
  <c r="D149" i="2" s="1"/>
  <c r="B171" i="2" s="1"/>
  <c r="E629" i="2"/>
  <c r="C119" i="7" s="1"/>
  <c r="B93" i="2"/>
  <c r="D93" i="2" s="1"/>
  <c r="B363" i="2"/>
  <c r="D363" i="2" s="1"/>
  <c r="D374" i="2" s="1"/>
  <c r="D68" i="3" s="1"/>
  <c r="D126" i="2"/>
  <c r="C126" i="2"/>
  <c r="C390" i="2"/>
  <c r="C171" i="2"/>
  <c r="B328" i="2"/>
  <c r="D328" i="2" s="1"/>
  <c r="D339" i="2" s="1"/>
  <c r="D64" i="3" s="1"/>
  <c r="B113" i="2"/>
  <c r="E113" i="2" s="1"/>
  <c r="C629" i="2"/>
  <c r="C119" i="4" s="1"/>
  <c r="B91" i="2"/>
  <c r="D91" i="2" s="1"/>
  <c r="B124" i="2" s="1"/>
  <c r="C25" i="4" s="1"/>
  <c r="C18" i="4"/>
  <c r="D130" i="2"/>
  <c r="E130" i="2" s="1"/>
  <c r="B167" i="2" s="1"/>
  <c r="C394" i="2"/>
  <c r="B394" i="2"/>
  <c r="D40" i="5"/>
  <c r="B352" i="2" l="1"/>
  <c r="B374" i="2" s="1"/>
  <c r="D66" i="3" s="1"/>
  <c r="D128" i="2"/>
  <c r="C26" i="16" s="1"/>
  <c r="D392" i="2"/>
  <c r="B392" i="2"/>
  <c r="E392" i="2" s="1"/>
  <c r="B403" i="2" s="1"/>
  <c r="D403" i="2" s="1"/>
  <c r="B128" i="2"/>
  <c r="D171" i="2"/>
  <c r="C293" i="2" s="1"/>
  <c r="E293" i="2" s="1"/>
  <c r="E125" i="2"/>
  <c r="C26" i="7"/>
  <c r="B126" i="2"/>
  <c r="B390" i="2"/>
  <c r="E393" i="2" s="1"/>
  <c r="B404" i="2" s="1"/>
  <c r="D404" i="2" s="1"/>
  <c r="D167" i="2"/>
  <c r="C324" i="2" s="1"/>
  <c r="C346" i="2" s="1"/>
  <c r="B156" i="2"/>
  <c r="D156" i="2" s="1"/>
  <c r="B178" i="2" s="1"/>
  <c r="D317" i="2"/>
  <c r="B339" i="2"/>
  <c r="B300" i="2"/>
  <c r="B359" i="2" s="1"/>
  <c r="E394" i="2"/>
  <c r="B405" i="2" s="1"/>
  <c r="D405" i="2" s="1"/>
  <c r="C388" i="2"/>
  <c r="C124" i="2"/>
  <c r="D124" i="2"/>
  <c r="D388" i="2"/>
  <c r="B388" i="2"/>
  <c r="E389" i="2" s="1"/>
  <c r="B400" i="2" s="1"/>
  <c r="D400" i="2" s="1"/>
  <c r="C26" i="4" l="1"/>
  <c r="E128" i="2"/>
  <c r="C25" i="16"/>
  <c r="C27" i="16" s="1"/>
  <c r="F339" i="2"/>
  <c r="D62" i="3"/>
  <c r="C352" i="2"/>
  <c r="C374" i="2" s="1"/>
  <c r="D67" i="3" s="1"/>
  <c r="C55" i="3"/>
  <c r="C57" i="3" s="1"/>
  <c r="E390" i="2"/>
  <c r="B401" i="2" s="1"/>
  <c r="D401" i="2" s="1"/>
  <c r="C25" i="7"/>
  <c r="E129" i="2"/>
  <c r="B295" i="2"/>
  <c r="B162" i="2"/>
  <c r="D162" i="2" s="1"/>
  <c r="B151" i="2"/>
  <c r="D151" i="2" s="1"/>
  <c r="B173" i="2" s="1"/>
  <c r="D413" i="2"/>
  <c r="D417" i="2"/>
  <c r="E126" i="2"/>
  <c r="B296" i="2" s="1"/>
  <c r="D418" i="2"/>
  <c r="D414" i="2"/>
  <c r="B324" i="2"/>
  <c r="B346" i="2" s="1"/>
  <c r="B381" i="2"/>
  <c r="B370" i="2"/>
  <c r="D370" i="2" s="1"/>
  <c r="D381" i="2" s="1"/>
  <c r="B335" i="2"/>
  <c r="D335" i="2" s="1"/>
  <c r="D346" i="2" s="1"/>
  <c r="C178" i="2"/>
  <c r="D178" i="2" s="1"/>
  <c r="C300" i="2" s="1"/>
  <c r="B630" i="2"/>
  <c r="E388" i="2"/>
  <c r="B399" i="2" s="1"/>
  <c r="D399" i="2" s="1"/>
  <c r="D412" i="2" s="1"/>
  <c r="E124" i="2"/>
  <c r="C120" i="3" l="1"/>
  <c r="D352" i="2"/>
  <c r="F374" i="2"/>
  <c r="D69" i="3" s="1"/>
  <c r="C54" i="5"/>
  <c r="B354" i="2"/>
  <c r="C54" i="7"/>
  <c r="B355" i="2"/>
  <c r="B377" i="2" s="1"/>
  <c r="D66" i="7" s="1"/>
  <c r="B411" i="2"/>
  <c r="D65" i="3"/>
  <c r="D36" i="16"/>
  <c r="D33" i="16"/>
  <c r="D34" i="16"/>
  <c r="D38" i="16"/>
  <c r="D39" i="16"/>
  <c r="D37" i="16"/>
  <c r="D35" i="16"/>
  <c r="D32" i="16"/>
  <c r="B298" i="2"/>
  <c r="B357" i="2" s="1"/>
  <c r="B154" i="2"/>
  <c r="D154" i="2" s="1"/>
  <c r="B176" i="2" s="1"/>
  <c r="B165" i="2"/>
  <c r="D165" i="2" s="1"/>
  <c r="B330" i="2"/>
  <c r="C173" i="2"/>
  <c r="D173" i="2" s="1"/>
  <c r="C295" i="2" s="1"/>
  <c r="C319" i="2"/>
  <c r="B365" i="2"/>
  <c r="D365" i="2" s="1"/>
  <c r="D376" i="2" s="1"/>
  <c r="D68" i="5" s="1"/>
  <c r="B319" i="2"/>
  <c r="B155" i="2"/>
  <c r="D155" i="2" s="1"/>
  <c r="B177" i="2" s="1"/>
  <c r="B166" i="2"/>
  <c r="D166" i="2" s="1"/>
  <c r="B299" i="2"/>
  <c r="B358" i="2" s="1"/>
  <c r="B152" i="2"/>
  <c r="D152" i="2" s="1"/>
  <c r="B174" i="2" s="1"/>
  <c r="B320" i="2"/>
  <c r="B163" i="2"/>
  <c r="D163" i="2" s="1"/>
  <c r="C174" i="2" s="1"/>
  <c r="B150" i="2"/>
  <c r="D150" i="2" s="1"/>
  <c r="B172" i="2" s="1"/>
  <c r="B161" i="2"/>
  <c r="D161" i="2" s="1"/>
  <c r="C318" i="2" s="1"/>
  <c r="C340" i="2" s="1"/>
  <c r="D63" i="4" s="1"/>
  <c r="F346" i="2"/>
  <c r="B418" i="2" s="1"/>
  <c r="D324" i="2"/>
  <c r="C359" i="2"/>
  <c r="C27" i="7"/>
  <c r="D36" i="7" s="1"/>
  <c r="C27" i="4"/>
  <c r="D32" i="4" s="1"/>
  <c r="B294" i="2"/>
  <c r="C411" i="2" l="1"/>
  <c r="C54" i="4"/>
  <c r="B353" i="2"/>
  <c r="B375" i="2" s="1"/>
  <c r="D66" i="4" s="1"/>
  <c r="C54" i="16"/>
  <c r="B322" i="2"/>
  <c r="D40" i="16"/>
  <c r="B368" i="2"/>
  <c r="D368" i="2" s="1"/>
  <c r="D379" i="2" s="1"/>
  <c r="D68" i="16" s="1"/>
  <c r="B333" i="2"/>
  <c r="D333" i="2" s="1"/>
  <c r="D344" i="2" s="1"/>
  <c r="D64" i="16" s="1"/>
  <c r="C176" i="2"/>
  <c r="D176" i="2" s="1"/>
  <c r="C298" i="2" s="1"/>
  <c r="E298" i="2" s="1"/>
  <c r="C322" i="2"/>
  <c r="C344" i="2" s="1"/>
  <c r="D63" i="16" s="1"/>
  <c r="C354" i="2"/>
  <c r="C376" i="2" s="1"/>
  <c r="D67" i="5" s="1"/>
  <c r="C55" i="5"/>
  <c r="C57" i="5" s="1"/>
  <c r="B323" i="2"/>
  <c r="B376" i="2"/>
  <c r="D66" i="5" s="1"/>
  <c r="E295" i="2"/>
  <c r="E300" i="2"/>
  <c r="D174" i="2"/>
  <c r="C296" i="2" s="1"/>
  <c r="C323" i="2"/>
  <c r="C345" i="2" s="1"/>
  <c r="B369" i="2"/>
  <c r="D369" i="2" s="1"/>
  <c r="D380" i="2" s="1"/>
  <c r="B334" i="2"/>
  <c r="D334" i="2" s="1"/>
  <c r="D345" i="2" s="1"/>
  <c r="C177" i="2"/>
  <c r="D177" i="2" s="1"/>
  <c r="C299" i="2" s="1"/>
  <c r="B341" i="2"/>
  <c r="D62" i="5" s="1"/>
  <c r="D330" i="2"/>
  <c r="D319" i="2"/>
  <c r="C341" i="2"/>
  <c r="D63" i="5" s="1"/>
  <c r="B342" i="2"/>
  <c r="D62" i="7" s="1"/>
  <c r="C320" i="2"/>
  <c r="D320" i="2" s="1"/>
  <c r="B331" i="2"/>
  <c r="B366" i="2"/>
  <c r="D366" i="2" s="1"/>
  <c r="D377" i="2" s="1"/>
  <c r="D68" i="7" s="1"/>
  <c r="B318" i="2"/>
  <c r="E411" i="2"/>
  <c r="B460" i="2" s="1"/>
  <c r="D359" i="2"/>
  <c r="C381" i="2"/>
  <c r="F381" i="2" s="1"/>
  <c r="C418" i="2" s="1"/>
  <c r="D33" i="7"/>
  <c r="D34" i="7"/>
  <c r="D32" i="7"/>
  <c r="D37" i="7"/>
  <c r="D35" i="7"/>
  <c r="D38" i="7"/>
  <c r="D39" i="7"/>
  <c r="B329" i="2"/>
  <c r="D329" i="2" s="1"/>
  <c r="D340" i="2" s="1"/>
  <c r="D64" i="4" s="1"/>
  <c r="B364" i="2"/>
  <c r="D364" i="2" s="1"/>
  <c r="D375" i="2" s="1"/>
  <c r="D68" i="4" s="1"/>
  <c r="C172" i="2"/>
  <c r="D172" i="2" s="1"/>
  <c r="D36" i="4"/>
  <c r="D35" i="4"/>
  <c r="D34" i="4"/>
  <c r="D33" i="4"/>
  <c r="D37" i="4"/>
  <c r="D39" i="4"/>
  <c r="D38" i="4"/>
  <c r="D354" i="2" l="1"/>
  <c r="B379" i="2"/>
  <c r="D66" i="16" s="1"/>
  <c r="C355" i="2"/>
  <c r="C377" i="2" s="1"/>
  <c r="D67" i="7" s="1"/>
  <c r="C55" i="7"/>
  <c r="G630" i="2"/>
  <c r="C120" i="16" s="1"/>
  <c r="B484" i="2"/>
  <c r="D484" i="2" s="1"/>
  <c r="B489" i="2" s="1"/>
  <c r="D489" i="2" s="1"/>
  <c r="C500" i="2" s="1"/>
  <c r="D70" i="3"/>
  <c r="C55" i="16"/>
  <c r="C57" i="16" s="1"/>
  <c r="C357" i="2"/>
  <c r="C379" i="2" s="1"/>
  <c r="D322" i="2"/>
  <c r="B344" i="2"/>
  <c r="C342" i="2"/>
  <c r="D63" i="7" s="1"/>
  <c r="E296" i="2"/>
  <c r="E630" i="2" s="1"/>
  <c r="C120" i="7" s="1"/>
  <c r="D341" i="2"/>
  <c r="C358" i="2"/>
  <c r="C380" i="2" s="1"/>
  <c r="E299" i="2"/>
  <c r="F376" i="2"/>
  <c r="D69" i="5" s="1"/>
  <c r="B380" i="2"/>
  <c r="D630" i="2"/>
  <c r="C120" i="5" s="1"/>
  <c r="B345" i="2"/>
  <c r="F345" i="2" s="1"/>
  <c r="B417" i="2" s="1"/>
  <c r="E418" i="2" s="1"/>
  <c r="B467" i="2" s="1"/>
  <c r="D467" i="2" s="1"/>
  <c r="B478" i="2" s="1"/>
  <c r="D478" i="2" s="1"/>
  <c r="E478" i="2" s="1"/>
  <c r="B503" i="2" s="1"/>
  <c r="D503" i="2" s="1"/>
  <c r="D323" i="2"/>
  <c r="D331" i="2"/>
  <c r="D342" i="2" s="1"/>
  <c r="F377" i="2"/>
  <c r="D69" i="7" s="1"/>
  <c r="D460" i="2"/>
  <c r="B471" i="2" s="1"/>
  <c r="D471" i="2" s="1"/>
  <c r="E471" i="2" s="1"/>
  <c r="B631" i="2"/>
  <c r="B340" i="2"/>
  <c r="D318" i="2"/>
  <c r="D40" i="7"/>
  <c r="D40" i="4"/>
  <c r="C294" i="2"/>
  <c r="C55" i="4" s="1"/>
  <c r="C57" i="4" s="1"/>
  <c r="C57" i="7" l="1"/>
  <c r="C121" i="3"/>
  <c r="D500" i="2"/>
  <c r="F632" i="2" s="1"/>
  <c r="C83" i="15"/>
  <c r="C84" i="15" s="1"/>
  <c r="C90" i="15" s="1"/>
  <c r="C91" i="15" s="1"/>
  <c r="F379" i="2"/>
  <c r="D67" i="16"/>
  <c r="D355" i="2"/>
  <c r="D357" i="2"/>
  <c r="F340" i="2"/>
  <c r="D62" i="4"/>
  <c r="F342" i="2"/>
  <c r="D65" i="7" s="1"/>
  <c r="D64" i="7"/>
  <c r="F341" i="2"/>
  <c r="D65" i="5" s="1"/>
  <c r="D64" i="5"/>
  <c r="F344" i="2"/>
  <c r="D62" i="16"/>
  <c r="B612" i="2"/>
  <c r="D612" i="2" s="1"/>
  <c r="D358" i="2"/>
  <c r="F380" i="2"/>
  <c r="C417" i="2" s="1"/>
  <c r="C413" i="2"/>
  <c r="B496" i="2"/>
  <c r="C77" i="3" s="1"/>
  <c r="C78" i="3" s="1"/>
  <c r="C89" i="3" s="1"/>
  <c r="B614" i="2"/>
  <c r="D614" i="2" s="1"/>
  <c r="B414" i="2"/>
  <c r="C414" i="2"/>
  <c r="C498" i="2"/>
  <c r="C83" i="5" s="1"/>
  <c r="C84" i="5" s="1"/>
  <c r="C90" i="5" s="1"/>
  <c r="C496" i="2"/>
  <c r="C83" i="3" s="1"/>
  <c r="C84" i="3" s="1"/>
  <c r="C90" i="3" s="1"/>
  <c r="E294" i="2"/>
  <c r="C353" i="2"/>
  <c r="B413" i="2" l="1"/>
  <c r="E413" i="2" s="1"/>
  <c r="C122" i="15"/>
  <c r="C416" i="2"/>
  <c r="D69" i="16"/>
  <c r="B416" i="2"/>
  <c r="D65" i="16"/>
  <c r="G634" i="2"/>
  <c r="C125" i="16" s="1"/>
  <c r="D111" i="16"/>
  <c r="B412" i="2"/>
  <c r="D65" i="4"/>
  <c r="E417" i="2"/>
  <c r="B622" i="2"/>
  <c r="D622" i="2" s="1"/>
  <c r="E414" i="2"/>
  <c r="D70" i="7" s="1"/>
  <c r="C630" i="2"/>
  <c r="C120" i="4" s="1"/>
  <c r="C91" i="3"/>
  <c r="D496" i="2"/>
  <c r="B607" i="2" s="1"/>
  <c r="D353" i="2"/>
  <c r="C375" i="2"/>
  <c r="D67" i="4" s="1"/>
  <c r="C124" i="15" l="1"/>
  <c r="E416" i="2"/>
  <c r="B465" i="2" s="1"/>
  <c r="D465" i="2" s="1"/>
  <c r="B476" i="2" s="1"/>
  <c r="D476" i="2" s="1"/>
  <c r="E476" i="2" s="1"/>
  <c r="B501" i="2" s="1"/>
  <c r="C77" i="16" s="1"/>
  <c r="C78" i="16" s="1"/>
  <c r="C89" i="16" s="1"/>
  <c r="C114" i="4"/>
  <c r="C114" i="16"/>
  <c r="D631" i="2"/>
  <c r="C121" i="5" s="1"/>
  <c r="D70" i="5"/>
  <c r="G635" i="2"/>
  <c r="C126" i="16" s="1"/>
  <c r="C635" i="2"/>
  <c r="C126" i="4" s="1"/>
  <c r="B466" i="2"/>
  <c r="D466" i="2" s="1"/>
  <c r="B477" i="2" s="1"/>
  <c r="D477" i="2" s="1"/>
  <c r="E477" i="2" s="1"/>
  <c r="B502" i="2" s="1"/>
  <c r="D502" i="2" s="1"/>
  <c r="B613" i="2" s="1"/>
  <c r="D613" i="2" s="1"/>
  <c r="B621" i="2" s="1"/>
  <c r="D621" i="2" s="1"/>
  <c r="B462" i="2"/>
  <c r="D462" i="2" s="1"/>
  <c r="B473" i="2" s="1"/>
  <c r="D473" i="2" s="1"/>
  <c r="E473" i="2" s="1"/>
  <c r="B498" i="2" s="1"/>
  <c r="C114" i="7"/>
  <c r="E635" i="2"/>
  <c r="C126" i="7" s="1"/>
  <c r="B463" i="2"/>
  <c r="D463" i="2" s="1"/>
  <c r="B474" i="2" s="1"/>
  <c r="D474" i="2" s="1"/>
  <c r="E474" i="2" s="1"/>
  <c r="E631" i="2"/>
  <c r="C121" i="7" s="1"/>
  <c r="D607" i="2"/>
  <c r="D111" i="3" s="1"/>
  <c r="B632" i="2"/>
  <c r="F375" i="2"/>
  <c r="D69" i="4" s="1"/>
  <c r="G631" i="2" l="1"/>
  <c r="C121" i="16" s="1"/>
  <c r="D70" i="16"/>
  <c r="C122" i="3"/>
  <c r="C114" i="3"/>
  <c r="C114" i="15"/>
  <c r="D498" i="2"/>
  <c r="B609" i="2" s="1"/>
  <c r="D609" i="2" s="1"/>
  <c r="D111" i="5" s="1"/>
  <c r="C77" i="5"/>
  <c r="C78" i="5" s="1"/>
  <c r="C89" i="5" s="1"/>
  <c r="C91" i="5" s="1"/>
  <c r="B635" i="2"/>
  <c r="C126" i="3" s="1"/>
  <c r="F635" i="2"/>
  <c r="C126" i="15" s="1"/>
  <c r="D635" i="2"/>
  <c r="C126" i="5" s="1"/>
  <c r="B611" i="2"/>
  <c r="D611" i="2" s="1"/>
  <c r="C114" i="5"/>
  <c r="B499" i="2"/>
  <c r="C77" i="7" s="1"/>
  <c r="B634" i="2"/>
  <c r="C125" i="3" s="1"/>
  <c r="C412" i="2"/>
  <c r="E412" i="2" s="1"/>
  <c r="C124" i="3" l="1"/>
  <c r="C127" i="3"/>
  <c r="C128" i="3" s="1"/>
  <c r="B636" i="2"/>
  <c r="B637" i="2" s="1"/>
  <c r="D632" i="2"/>
  <c r="F634" i="2"/>
  <c r="D111" i="15"/>
  <c r="B485" i="2"/>
  <c r="D485" i="2" s="1"/>
  <c r="B490" i="2" s="1"/>
  <c r="D490" i="2" s="1"/>
  <c r="C501" i="2" s="1"/>
  <c r="D70" i="4"/>
  <c r="D634" i="2"/>
  <c r="B461" i="2"/>
  <c r="D461" i="2" s="1"/>
  <c r="B472" i="2" s="1"/>
  <c r="D472" i="2" s="1"/>
  <c r="E472" i="2" s="1"/>
  <c r="B497" i="2" s="1"/>
  <c r="C77" i="4" s="1"/>
  <c r="C631" i="2"/>
  <c r="C125" i="15" l="1"/>
  <c r="C127" i="15" s="1"/>
  <c r="C128" i="15" s="1"/>
  <c r="F636" i="2"/>
  <c r="F637" i="2" s="1"/>
  <c r="F15" i="14" s="1"/>
  <c r="G15" i="14" s="1"/>
  <c r="H15" i="14" s="1"/>
  <c r="C121" i="4"/>
  <c r="C122" i="5"/>
  <c r="D636" i="2"/>
  <c r="D637" i="2" s="1"/>
  <c r="F8" i="14" s="1"/>
  <c r="G8" i="14" s="1"/>
  <c r="H8" i="14" s="1"/>
  <c r="C125" i="5"/>
  <c r="D501" i="2"/>
  <c r="G632" i="2" s="1"/>
  <c r="G636" i="2" s="1"/>
  <c r="G637" i="2" s="1"/>
  <c r="C83" i="16"/>
  <c r="C84" i="16" s="1"/>
  <c r="C90" i="16" s="1"/>
  <c r="C91" i="16" s="1"/>
  <c r="F6" i="14"/>
  <c r="E6" i="14"/>
  <c r="C497" i="2"/>
  <c r="C499" i="2"/>
  <c r="C78" i="7"/>
  <c r="C89" i="7" s="1"/>
  <c r="C78" i="4"/>
  <c r="C89" i="4" s="1"/>
  <c r="C124" i="5" l="1"/>
  <c r="C127" i="5"/>
  <c r="C128" i="5" s="1"/>
  <c r="E15" i="14"/>
  <c r="E8" i="14"/>
  <c r="C122" i="16"/>
  <c r="D499" i="2"/>
  <c r="B610" i="2" s="1"/>
  <c r="D610" i="2" s="1"/>
  <c r="D111" i="7" s="1"/>
  <c r="C83" i="7"/>
  <c r="C84" i="7" s="1"/>
  <c r="C90" i="7" s="1"/>
  <c r="C91" i="7" s="1"/>
  <c r="D497" i="2"/>
  <c r="B608" i="2" s="1"/>
  <c r="D608" i="2" s="1"/>
  <c r="D111" i="4" s="1"/>
  <c r="C83" i="4"/>
  <c r="C84" i="4" s="1"/>
  <c r="C90" i="4" s="1"/>
  <c r="C91" i="4" s="1"/>
  <c r="G6" i="14"/>
  <c r="C124" i="16" l="1"/>
  <c r="C127" i="16"/>
  <c r="C128" i="16" s="1"/>
  <c r="E632" i="2"/>
  <c r="C632" i="2"/>
  <c r="F16" i="14"/>
  <c r="E16" i="14"/>
  <c r="E17" i="14" s="1"/>
  <c r="H6" i="14"/>
  <c r="E634" i="2"/>
  <c r="C634" i="2"/>
  <c r="C125" i="4" s="1"/>
  <c r="C122" i="4" l="1"/>
  <c r="C636" i="2"/>
  <c r="C637" i="2" s="1"/>
  <c r="C122" i="7"/>
  <c r="E636" i="2"/>
  <c r="E637" i="2" s="1"/>
  <c r="F9" i="14" s="1"/>
  <c r="G9" i="14" s="1"/>
  <c r="H9" i="14" s="1"/>
  <c r="C125" i="7"/>
  <c r="F17" i="14"/>
  <c r="G16" i="14"/>
  <c r="C124" i="7" l="1"/>
  <c r="C127" i="7"/>
  <c r="C128" i="7" s="1"/>
  <c r="C124" i="4"/>
  <c r="C127" i="4"/>
  <c r="C128" i="4" s="1"/>
  <c r="E9" i="14"/>
  <c r="H16" i="14"/>
  <c r="H17" i="14" s="1"/>
  <c r="G17" i="14"/>
  <c r="F7" i="14"/>
  <c r="E7" i="14"/>
  <c r="E10" i="14" l="1"/>
  <c r="G7" i="14"/>
  <c r="F10" i="14"/>
  <c r="H7" i="14" l="1"/>
  <c r="H10" i="14" s="1"/>
  <c r="C24" i="14" s="1"/>
  <c r="G10" i="14"/>
  <c r="C23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Scheyla Cristina de Souza Belmiro do Amaral</author>
  </authors>
  <commentList>
    <comment ref="B11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Informar salário base conforme Convenção Coletiva de Trabalho vigente para a categoria e no município de prestação do serviço.
</t>
        </r>
      </text>
    </comment>
    <comment ref="C18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Percentual conforme definido em CCT, se houver gratificação de função.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32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Percentual sobre o salário base, conforme definido em CCT, quando houver adicional de periculosidade ou insabubridade</t>
        </r>
      </text>
    </comment>
    <comment ref="C45" authorId="0" shapeId="0" xr:uid="{00000000-0006-0000-0100-000004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Considera hora noturna de 22h às 5h do dia segunte, portanto 7 horas noturnas de uma jornada de 12h. 
Base de cálculo de acordo com § 3º do Art. 73 da CLT</t>
        </r>
      </text>
    </comment>
    <comment ref="C50" authorId="0" shapeId="0" xr:uid="{00000000-0006-0000-0100-000005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
A título de pagamento adicional computa-se o pagamento de 7min e 30 s a cada hora noturna, por 7 horas, totalizando 52min e 30 s, que significa 1 hora da jornada de 12h.
</t>
        </r>
      </text>
    </comment>
    <comment ref="D50" authorId="0" shapeId="0" xr:uid="{00000000-0006-0000-0100-000006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Por tratar-se de hora considerada a mais, calcula-se pagamento de 100% da hora, acrescida do respectivo adicional noturno.</t>
        </r>
      </text>
    </comment>
    <comment ref="A53" authorId="0" shapeId="0" xr:uid="{00000000-0006-0000-0100-000007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Tabela resumo da totalização do Adicional noturno.
Automatizada, desde que não haja alterações de fórmulas ou estrutura da planilha.</t>
        </r>
      </text>
    </comment>
    <comment ref="A73" authorId="0" shapeId="0" xr:uid="{00000000-0006-0000-0100-000008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Automatizada, desde que não haja alterações de fórmulas ou estrutura da planilha.
</t>
        </r>
      </text>
    </comment>
    <comment ref="C89" authorId="0" shapeId="0" xr:uid="{00000000-0006-0000-0100-000009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Por tratar-se de planilha mensal será contabilizado 1/12 avos do custo.</t>
        </r>
      </text>
    </comment>
    <comment ref="A99" authorId="0" shapeId="0" xr:uid="{00000000-0006-0000-0100-00000A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Observações importantes: 
1ª - Levando em consideração a vigência contratual prevista no art. 57 da Lei nº 8.666, de 23 de junho de 1993, a referida rubrica tem como principal objetivo suprir a necessidade no final do contrato de 12 meses o pagamento ao direito às férias remuneradas, na forma prevista na Consolidação das Leis do Trabalho. Esta rubrica, quando da prorrogação contratual, torna-se objeto de custo não renovável. 
2ª - Deve ser ponderado pelo gestor no momento da composição de custos, a necessidade ou não da inclusão dessa rubrica, observada nesses casos sempre a duração do contrato. Caso seja firmado contrato com duração superior a 12 meses, sugere-se a exclusão dessa rubrica.
</t>
        </r>
      </text>
    </comment>
    <comment ref="C112" authorId="0" shapeId="0" xr:uid="{00000000-0006-0000-0100-00000B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Corresponde ao previsto na Constituição. Adicional de 1/3 a mais do salário normal.
</t>
        </r>
      </text>
    </comment>
    <comment ref="A121" authorId="0" shapeId="0" xr:uid="{00000000-0006-0000-0100-00000C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apenas totaliza a previsão mensal de custos com 13° Salário, Férias e Adicional de Férias.
</t>
        </r>
      </text>
    </comment>
    <comment ref="B139" authorId="0" shapeId="0" xr:uid="{00000000-0006-0000-0100-00000D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Informar o percentual adequado à categoria profissional a ser contratada para a prestação do serviço.
</t>
        </r>
      </text>
    </comment>
    <comment ref="C149" authorId="0" shapeId="0" xr:uid="{00000000-0006-0000-0100-00000E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Corresponde ao somatório dos encargos para financiamento da seguridade social.
O percentual será alterado quando do preenchimento da aliquota do SAT/GIIL-RAT
</t>
        </r>
      </text>
    </comment>
    <comment ref="C160" authorId="0" shapeId="0" xr:uid="{00000000-0006-0000-0100-00000F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Alíquota mensal de depóstio à título de FGTS, conforme Lei n° 8.036, de 1990.</t>
        </r>
      </text>
    </comment>
    <comment ref="A169" authorId="0" shapeId="0" xr:uid="{00000000-0006-0000-0100-000010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Totalização dos Encargos. Automatizada, desde que não haja alteração nas fórmulas e estrutura da planilha.</t>
        </r>
      </text>
    </comment>
    <comment ref="B185" authorId="0" shapeId="0" xr:uid="{00000000-0006-0000-0100-000011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Valor da tarifa de transporte público praticada no município de prestação do serviço.
</t>
        </r>
      </text>
    </comment>
    <comment ref="D186" authorId="0" shapeId="0" xr:uid="{00000000-0006-0000-0100-000012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apenas sugerido, depende de disposições constantes na CCT.</t>
        </r>
      </text>
    </comment>
    <comment ref="C196" authorId="0" shapeId="0" xr:uid="{00000000-0006-0000-0100-000013000000}">
      <text>
        <r>
          <rPr>
            <b/>
            <sz val="9"/>
            <color indexed="81"/>
            <rFont val="Segoe UI"/>
            <family val="2"/>
          </rPr>
          <t xml:space="preserve">Seges: exemplificativo... </t>
        </r>
        <r>
          <rPr>
            <sz val="9"/>
            <color indexed="81"/>
            <rFont val="Segoe UI"/>
            <family val="2"/>
          </rPr>
          <t>O desconto poderá ser proporcional, conforme disposto no art. 10 do Decreto n° 95.247, de 1987.
O órgão contatante deverá apreciar o comportamento das empresas prestadoras de serviço e ajustar, conforme necessidade.</t>
        </r>
      </text>
    </comment>
    <comment ref="B220" authorId="0" shapeId="0" xr:uid="{00000000-0006-0000-0100-000014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Conforme estabelecido em Convenção Coletiva de Trabalho
</t>
        </r>
      </text>
    </comment>
    <comment ref="C221" authorId="0" shapeId="0" xr:uid="{00000000-0006-0000-0100-000015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apenas sugerido, depende de disposições constantes na CCT.
</t>
        </r>
      </text>
    </comment>
    <comment ref="C231" authorId="0" shapeId="0" xr:uid="{00000000-0006-0000-0100-000016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Observar desconto informado em Convenção Coletiva.
</t>
        </r>
      </text>
    </comment>
    <comment ref="B232" authorId="0" shapeId="0" xr:uid="{00000000-0006-0000-0100-000017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Observar Convenção Coletiva sobre base de cálculo, habitualmente o desconto é sobre o valor do benefício concedido.</t>
        </r>
      </text>
    </comment>
    <comment ref="A278" authorId="0" shapeId="0" xr:uid="{00000000-0006-0000-0100-000018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Apenas totaliza os custos efetivos com benefícios mensais do trabalhador.
Automatizada, desde que não haja alteração de fórmulas ou estrutura da planilha</t>
        </r>
      </text>
    </comment>
    <comment ref="A291" authorId="0" shapeId="0" xr:uid="{00000000-0006-0000-0100-000019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Totaliza o módulo 2, com somatória de 13° salário, férias, adicional, encargos e benefícios.
</t>
        </r>
      </text>
    </comment>
    <comment ref="B307" authorId="0" shapeId="0" xr:uid="{00000000-0006-0000-0100-00001A000000}">
      <text>
        <r>
          <rPr>
            <b/>
            <sz val="9"/>
            <color indexed="81"/>
            <rFont val="Segoe UI"/>
            <family val="2"/>
          </rPr>
          <t xml:space="preserve">Seges: exemplificativo
</t>
        </r>
        <r>
          <rPr>
            <sz val="9"/>
            <color indexed="81"/>
            <rFont val="Segoe UI"/>
            <family val="2"/>
          </rPr>
          <t xml:space="preserve">Para o modelo utiliza-se probabilidade de 45% de API e 55% de APT. Observar fórmula.
O percentual de probabilidade de ocorrência deverá ser avaliado pelo órgão contratante, mediante histórico das contratações, ajustando a planilha ao caso em concreto.
</t>
        </r>
      </text>
    </comment>
    <comment ref="A409" authorId="0" shapeId="0" xr:uid="{00000000-0006-0000-0100-00001B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
Totaliza o custo estimado a ser provisionado mensalmente. Está automatizada, desde que não haja alteração de fórmulas e/ou estrutura da planilha.</t>
        </r>
      </text>
    </comment>
    <comment ref="B424" authorId="0" shapeId="0" xr:uid="{00000000-0006-0000-0100-00001C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Probabilidade de ocorrência de ausência do profissional residente quando será necessária a presença de um repositor. O órgão deverá observar o histórico das contratações anteriores para estimar tais probabilidades.</t>
        </r>
      </text>
    </comment>
    <comment ref="C424" authorId="0" shapeId="0" xr:uid="{00000000-0006-0000-0100-00001D000000}">
      <text>
        <r>
          <rPr>
            <b/>
            <sz val="9"/>
            <color indexed="81"/>
            <rFont val="Segoe UI"/>
            <family val="2"/>
          </rPr>
          <t xml:space="preserve">Segesl: </t>
        </r>
        <r>
          <rPr>
            <sz val="9"/>
            <color indexed="81"/>
            <rFont val="Segoe UI"/>
            <family val="2"/>
          </rPr>
          <t>Duração computada em dias, conforme previsão em legislação.</t>
        </r>
      </text>
    </comment>
    <comment ref="A439" authorId="0" shapeId="0" xr:uid="{00000000-0006-0000-0100-00001E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Esta tabela apresenta o resumo dos dias prováveis de ausência, quando seria necessária a presença de um profissional repositor.
Seu cálculo está automatizado mediante preenchimento da tabela anterior.</t>
        </r>
      </text>
    </comment>
    <comment ref="A442" authorId="0" shapeId="0" xr:uid="{00000000-0006-0000-0100-00001F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este ítem destina-se ao cálculo do custo do empregado substituto que virá cobrir o período de férias do residente, portanto, não se confunde com o direito ao pagamento de férias daquele.
Desde que não haja alteração de fórmulas e/ou estrutura da planilha.
</t>
        </r>
      </text>
    </comment>
    <comment ref="A469" authorId="0" shapeId="0" xr:uid="{00000000-0006-0000-0100-000020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Tabela automatizada para cálculo do custo mensal com reposição do profissional ausente, mediante preenchimento das anteriores. Desde que não haja alteração de fórmulas e/ou estrutura da planilha.
</t>
        </r>
      </text>
    </comment>
    <comment ref="A494" authorId="0" shapeId="0" xr:uid="{00000000-0006-0000-0100-000021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Esta tabela totaliza os custos com reposição de profissional ausente e está automatizada mediante preenchimento das anteriores. Desde que não haja alteração de fórmulas e/ou estrutura da planilha.</t>
        </r>
      </text>
    </comment>
    <comment ref="D508" authorId="0" shapeId="0" xr:uid="{00000000-0006-0000-0100-000022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
</t>
        </r>
      </text>
    </comment>
    <comment ref="D533" authorId="0" shapeId="0" xr:uid="{00000000-0006-0000-0100-000023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
</t>
        </r>
      </text>
    </comment>
    <comment ref="D547" authorId="0" shapeId="0" xr:uid="{00000000-0006-0000-0100-000024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
</t>
        </r>
      </text>
    </comment>
    <comment ref="A600" authorId="0" shapeId="0" xr:uid="{00000000-0006-0000-0100-000025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Nesta tabela poderão ser informados os percentuais previstos de Custos Indiretos, Tributos e Lucro separadamente para permitir o cálculo automático segundo metodologia Seges. Desde que não haja alteração de modelo da planilha e de fórmulas.
</t>
        </r>
      </text>
    </comment>
    <comment ref="A626" authorId="0" shapeId="0" xr:uid="{00000000-0006-0000-0100-000026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Esta tabela totaliza o custo do trabalhador e está automatizada, desde que não haja alteração nas formulas e no modelo da presente planilha. Ajustes necessários são responsailidade do órgão contratante, por quem deverão ser conferidos.</t>
        </r>
      </text>
    </comment>
  </commentList>
</comments>
</file>

<file path=xl/sharedStrings.xml><?xml version="1.0" encoding="utf-8"?>
<sst xmlns="http://schemas.openxmlformats.org/spreadsheetml/2006/main" count="1790" uniqueCount="376">
  <si>
    <t>SALÁRIO BASE</t>
  </si>
  <si>
    <t>Base de cálculo</t>
  </si>
  <si>
    <t>Percentual</t>
  </si>
  <si>
    <t>Categoria</t>
  </si>
  <si>
    <t>Valor</t>
  </si>
  <si>
    <t>MÓDULO 1 - REMUNERAÇÃO</t>
  </si>
  <si>
    <t>ADICIONAL POR TRABALHO NOTURNO</t>
  </si>
  <si>
    <t>Base de Cálculo</t>
  </si>
  <si>
    <t>Proporção</t>
  </si>
  <si>
    <t>HORA NOTURNA REDUZIDA</t>
  </si>
  <si>
    <t>Adicional Noturno</t>
  </si>
  <si>
    <t>Hora Noturna
Reduzida</t>
  </si>
  <si>
    <t>Total</t>
  </si>
  <si>
    <t>ADICIONAL DE FÉRIAS - 1/3 CONSTITUCIONAL</t>
  </si>
  <si>
    <t>Alíquota Adicional</t>
  </si>
  <si>
    <t>1/3 Constitucional</t>
  </si>
  <si>
    <t>Férias</t>
  </si>
  <si>
    <t>SUBMÓDULO 2.2 - ENCARGOS PREVIDENCIÁRIOS E FGTS</t>
  </si>
  <si>
    <t>COMPOSIÇÃO DO GPS E FGTS</t>
  </si>
  <si>
    <t>Encargos</t>
  </si>
  <si>
    <t>INSS - empregador</t>
  </si>
  <si>
    <t>Salário-Educação</t>
  </si>
  <si>
    <t>SAT- GIL/RAT</t>
  </si>
  <si>
    <t>SESC</t>
  </si>
  <si>
    <t>SENAC</t>
  </si>
  <si>
    <t>SEBRAE</t>
  </si>
  <si>
    <t>INCRA</t>
  </si>
  <si>
    <t>FGTS</t>
  </si>
  <si>
    <t>TOTAL</t>
  </si>
  <si>
    <t>GPS - GUIA DA PREVIDÊNCIA SOCIAL</t>
  </si>
  <si>
    <t>FGTS - FUNDO DE GARANTIA POR TEMPO DE SERVIÇO</t>
  </si>
  <si>
    <t>GPS</t>
  </si>
  <si>
    <t>SUBMÓDULO 2.3 - BENEFÍCIOS MENSAIS E DIÁRIOS</t>
  </si>
  <si>
    <t>Vr. Unitário</t>
  </si>
  <si>
    <t xml:space="preserve">Vales por dia </t>
  </si>
  <si>
    <t>Custo total</t>
  </si>
  <si>
    <t>Dias efetivamente trabalhados</t>
  </si>
  <si>
    <t>CUSTO DA PASSAGEM</t>
  </si>
  <si>
    <t>Proporcionalidade</t>
  </si>
  <si>
    <t>Desconto</t>
  </si>
  <si>
    <t>Valor do desconto</t>
  </si>
  <si>
    <t>DESCONTO DO VALE TRANSPORTE</t>
  </si>
  <si>
    <t>Custo efetivo</t>
  </si>
  <si>
    <t>CUSTO EFETIVO DO VALE TRANSPORTE</t>
  </si>
  <si>
    <t>Valor diário</t>
  </si>
  <si>
    <t>DESCONTO DO VALE ALIMENTAÇÃO/REFEIÇÃO</t>
  </si>
  <si>
    <t>CUSTO EFETIVO DO VALE ALIMENTAÇÃO/REFEIÇÃO</t>
  </si>
  <si>
    <t>MÓDULO 3 - PROVISÃO PARA RESCISÃO</t>
  </si>
  <si>
    <t>PERCENTUAIS POR TIPO DE
 DESLIGAMENTO</t>
  </si>
  <si>
    <t>Tipos</t>
  </si>
  <si>
    <t>Demissão 
SEM  justa Causa</t>
  </si>
  <si>
    <t>SEM justa Causa
AP INDENIZADO</t>
  </si>
  <si>
    <t>SEM justa Causa 
AP TRABALHADO</t>
  </si>
  <si>
    <t>Demissão
 COM  justa Causa</t>
  </si>
  <si>
    <t>Desligamentos 
OUTROS TIPOS</t>
  </si>
  <si>
    <t>SUBMÓDULO 3.1 - AVISO PRÉVIO INDENIZADO</t>
  </si>
  <si>
    <t>Submódulo 2.1</t>
  </si>
  <si>
    <t>Submódulo 2.2</t>
  </si>
  <si>
    <t>Submódulo 2.3</t>
  </si>
  <si>
    <t>MULTA DO FGTS E CONTRIBUIÇÃO SOCIAL SOBRE O AVISO PRÉVIO INDENIZADO</t>
  </si>
  <si>
    <t>Percentual da 
Multa</t>
  </si>
  <si>
    <t>SUBMÓDULO 3.1 - CUSTO DO AVISO PRÉVIO INDENIZADO</t>
  </si>
  <si>
    <t>SUBMÓDULO 3.2 - AVISO PRÉVIO TRABALHADO</t>
  </si>
  <si>
    <t>SUBMÓDULO 3.3 - DEMISSÃO POR JUSTA CAUSA</t>
  </si>
  <si>
    <t>Valor provisionado do Adicional de Férias</t>
  </si>
  <si>
    <t>Valor provisionado das Férias</t>
  </si>
  <si>
    <t>BASE DE CÁLCULO PARA DEMISSÃO POR JUSTA CAUSA</t>
  </si>
  <si>
    <t>SUBMÓDULO 3.3 - CUSTO DA DEMISSÃO COM JUSTA CAUSA</t>
  </si>
  <si>
    <t>Submódulo 3.1</t>
  </si>
  <si>
    <t>Submódulo 3.2</t>
  </si>
  <si>
    <t>Submódulo 3.3</t>
  </si>
  <si>
    <t>SUBMÓDULO 3.2 - CUSTO DO AVISO PRÉVIO TRABALHADO</t>
  </si>
  <si>
    <t>MÓDULO 4 - CUSTO DE REPOSIÇÃO DO PROFISSIONAL AUSENTE</t>
  </si>
  <si>
    <t>Custo diário</t>
  </si>
  <si>
    <t>Divisor do dia</t>
  </si>
  <si>
    <t>CUSTO DIÁRIO PARA O REPOSITOR</t>
  </si>
  <si>
    <t xml:space="preserve">Memória de Cálculo - número de dias de reposição do profissional ausente para cada evento </t>
  </si>
  <si>
    <t>Incidencia anual</t>
  </si>
  <si>
    <t>Duração Legal  
da Ausência</t>
  </si>
  <si>
    <t>12x36</t>
  </si>
  <si>
    <t>Proporção dias afetados</t>
  </si>
  <si>
    <t>Dias de reposição</t>
  </si>
  <si>
    <t>Ausência justificada</t>
  </si>
  <si>
    <t>Acidente trabalho</t>
  </si>
  <si>
    <t>Afastamento por doença</t>
  </si>
  <si>
    <t>Consulta médica filho</t>
  </si>
  <si>
    <t>Óbitos na família</t>
  </si>
  <si>
    <t>Casamento</t>
  </si>
  <si>
    <t>Doação de sangue</t>
  </si>
  <si>
    <t>Testemunho</t>
  </si>
  <si>
    <t>Paternidade</t>
  </si>
  <si>
    <t>Maternidade</t>
  </si>
  <si>
    <t>Consulta pré-natal</t>
  </si>
  <si>
    <t>Composição</t>
  </si>
  <si>
    <t xml:space="preserve"> 12 x 36 D</t>
  </si>
  <si>
    <t>12 x 36 N</t>
  </si>
  <si>
    <t>Total Para reposição</t>
  </si>
  <si>
    <t>ESTIMATIVA DA NECESSIDADE DE REPOSIÇÃO DE PROFISSIONAL</t>
  </si>
  <si>
    <t>Necessidade de Reposição</t>
  </si>
  <si>
    <t>Custo anual</t>
  </si>
  <si>
    <t>Custo mensal</t>
  </si>
  <si>
    <t>SUBMÓDULO 4.1 - AUSÊNCIAS LEGAIS</t>
  </si>
  <si>
    <t>SUBMÓDULO 4.2 - INTRAJORNADA</t>
  </si>
  <si>
    <t>divisor de hora</t>
  </si>
  <si>
    <t>CUSTO POR HORA DO REPOSITOR</t>
  </si>
  <si>
    <t>Valor da hora</t>
  </si>
  <si>
    <t>Necessidade de Reposição (horas)</t>
  </si>
  <si>
    <t>Submódulo 4.1</t>
  </si>
  <si>
    <t>Submódulo 4.2</t>
  </si>
  <si>
    <t>MÓDULO 5 - INSUMOS DE MÃO DE OBRA</t>
  </si>
  <si>
    <t>MÓDULO 6 - CUSTOS INDIRETOS, TRIBUTOS E LUCRO</t>
  </si>
  <si>
    <t>Subordinados</t>
  </si>
  <si>
    <t>RATEIO DA CHEFIA DE CAMPO</t>
  </si>
  <si>
    <t>Módulo</t>
  </si>
  <si>
    <t>12x36 Diurno</t>
  </si>
  <si>
    <t>12x36 Noturno</t>
  </si>
  <si>
    <t>Remuneração</t>
  </si>
  <si>
    <t>Encargos e Benefícios</t>
  </si>
  <si>
    <t>Rescisão</t>
  </si>
  <si>
    <t>Reposição do Profissional Ausente</t>
  </si>
  <si>
    <t>Insumos Diversos</t>
  </si>
  <si>
    <t>Custos Indiretos, Tributos e Lucro</t>
  </si>
  <si>
    <t>Valor por Empregado</t>
  </si>
  <si>
    <t>Valor por Posto</t>
  </si>
  <si>
    <t>Rateio da Chefia de Campo</t>
  </si>
  <si>
    <t xml:space="preserve">Férias </t>
  </si>
  <si>
    <t>13° Salário</t>
  </si>
  <si>
    <t>MÓDULO 2 - ENCARGOS E BENEFÍCIOS (ANUAIS, MENSAIS E DIÁRIOS)</t>
  </si>
  <si>
    <t>Valor provisionado do 13º Salário</t>
  </si>
  <si>
    <t>Provisionamento Mensal</t>
  </si>
  <si>
    <t>SUBMÓDULO 2.1 – 13° SALÁRIO, FÉRIAS E ADICIONAL DE FÉRIAS</t>
  </si>
  <si>
    <t>Valor da Gratificação</t>
  </si>
  <si>
    <t>Cargo B (12x36 Diurno)</t>
  </si>
  <si>
    <t>Cargo B (12x36 Noturno)</t>
  </si>
  <si>
    <t>13° SALÁRIO
Previsto no Decreto 57.155, de 1965.</t>
  </si>
  <si>
    <t>FÉRIAS
Previsto no art. 7° da Constituição Federal</t>
  </si>
  <si>
    <t>Porobabilidade de ocorrência de ausências legais, conforme previsão do art. 473 da Consolidação das Leis do Trabalho.</t>
  </si>
  <si>
    <t>INFORMAÇÃO DE PERCENTUAIS ESTIMADOS DE CITL</t>
  </si>
  <si>
    <t>Custos Indiretos</t>
  </si>
  <si>
    <t>Tributos</t>
  </si>
  <si>
    <t>Lucro</t>
  </si>
  <si>
    <t>CUSTO DO TRABALHADOR</t>
  </si>
  <si>
    <t>CUSTO TOTAL POR TRABALHADOR</t>
  </si>
  <si>
    <t xml:space="preserve">UNIFORMES - COMPOSIÇÃO - VALOR ANUAL </t>
  </si>
  <si>
    <t>Item</t>
  </si>
  <si>
    <t>qte</t>
  </si>
  <si>
    <t>Vr. Unitario</t>
  </si>
  <si>
    <t>Calça</t>
  </si>
  <si>
    <t>Camisa</t>
  </si>
  <si>
    <t xml:space="preserve">Custo anual por Pessoa  </t>
  </si>
  <si>
    <t>UNIFORMES</t>
  </si>
  <si>
    <t xml:space="preserve">Custo mensal </t>
  </si>
  <si>
    <t>Descrição</t>
  </si>
  <si>
    <t>Cotação</t>
  </si>
  <si>
    <t xml:space="preserve">Valor total </t>
  </si>
  <si>
    <t>CUSTO MENSAL DOS EQUIPAMENTOS</t>
  </si>
  <si>
    <t>Custo com Uniformes</t>
  </si>
  <si>
    <t>Módulo 1 - Composição da Remuneração</t>
  </si>
  <si>
    <t>Composição da Remuneração</t>
  </si>
  <si>
    <t>Valor (R$)</t>
  </si>
  <si>
    <t>A</t>
  </si>
  <si>
    <t>B</t>
  </si>
  <si>
    <t>C</t>
  </si>
  <si>
    <t>D</t>
  </si>
  <si>
    <t>E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</si>
  <si>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</si>
  <si>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</si>
  <si>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</si>
  <si>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</si>
  <si>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</si>
  <si>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</si>
  <si>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</si>
  <si>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</si>
  <si>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</si>
  <si>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</si>
  <si>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</si>
  <si>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</si>
  <si>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</si>
  <si>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</si>
  <si>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</si>
  <si>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</si>
  <si>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</si>
  <si>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</si>
  <si>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H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</si>
  <si>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</si>
  <si>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</si>
  <si>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</si>
  <si>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</si>
  <si>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</si>
  <si>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</si>
  <si>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</si>
  <si>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</si>
  <si>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</si>
  <si>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</si>
  <si>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</si>
  <si>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</si>
  <si>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</si>
  <si>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</si>
  <si>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</si>
  <si>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</si>
  <si>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</si>
  <si>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</si>
  <si>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</si>
  <si>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</si>
  <si>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</si>
  <si>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</si>
  <si>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</si>
  <si>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</si>
  <si>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</si>
  <si>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</si>
  <si>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Equipamentos</t>
  </si>
  <si>
    <t>Módulo 6 - Custos Indiretos, Tributos e Lucro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</si>
  <si>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</si>
  <si>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</si>
  <si>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</si>
  <si>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</si>
  <si>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</si>
  <si>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</si>
  <si>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</si>
  <si>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</si>
  <si>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PLANILHA DE CUSTOS E FORMAÇÃO DE PREÇOS</t>
  </si>
  <si>
    <t xml:space="preserve">MODELO DE FORMAÇÃO DE CUSTO MENSAL PARA UM EMPREGADO </t>
  </si>
  <si>
    <t>BENEFÍCIO yyy</t>
  </si>
  <si>
    <t>Benefício y</t>
  </si>
  <si>
    <t>* Previsto no art. 195 da Constituição Federal. 
* Os percentuais informados não são taxativos e deverão observar o enquadramento real das empresas prestadoras de serviço, em especial no que diz respeito ao SAT-GIIL/RAT.</t>
  </si>
  <si>
    <t>* Para os casos em que há Supervisor e este não for contratado como um posto de trabalho, a exemplo dos serviços de vigilância patrimonial, seu custo deverá ser rateado pelo total de empregados supervisionados, conforme disposição do Anexo VII-D da Insrução Normativa n° 5, de 2017.</t>
  </si>
  <si>
    <t>Com ajustes após publicação da Lei n° 13.467, de 2017.</t>
  </si>
  <si>
    <t>Intervalo para repouso e alimentação</t>
  </si>
  <si>
    <t>ADICIONAL DE PERICULOSIDADE</t>
  </si>
  <si>
    <t>SERVIÇO</t>
  </si>
  <si>
    <t>Posto de vigilância armada, 12 horas diurnas, jornada de 12x36, de segunda-feira a domingo totalizando 360 horas mensais.</t>
  </si>
  <si>
    <t>Posto de vigilância armada, 12 horas noturnas, jornada de 12x36, de segunda-feira a domingo totalizando 360 horas mensais.</t>
  </si>
  <si>
    <t>LOTE 01 - CAMPO GRANDE/TERENOS - ESTIMATIVA  DE PREÇOS</t>
  </si>
  <si>
    <t>Vigilante</t>
  </si>
  <si>
    <t>Supervisor</t>
  </si>
  <si>
    <t>Vigilante (12x36 Diurno)</t>
  </si>
  <si>
    <t>Supervisor (12x36 Diurno)</t>
  </si>
  <si>
    <t>Supervisor (12x36 Noturno)</t>
  </si>
  <si>
    <t>Vigilante (12x36 Noturno)</t>
  </si>
  <si>
    <t>Superviso (12x36 Noturno)</t>
  </si>
  <si>
    <t>Valor do Posto diurno (12x36)</t>
  </si>
  <si>
    <t>Especificação do Posto</t>
  </si>
  <si>
    <t>CUSTO VALE ALIMENTAÇÃO/REFEIÇÃO</t>
  </si>
  <si>
    <t>AVISO PRÉVIO INDENIZADO + FGTS DO AVISO PRÉVIO</t>
  </si>
  <si>
    <t>Incidência FGTS</t>
  </si>
  <si>
    <t>Custo do Aviso Prévio</t>
  </si>
  <si>
    <t>Multa FGTS</t>
  </si>
  <si>
    <t>Percentual de Incidência</t>
  </si>
  <si>
    <t>AVISO PRÉVIO TRABALHADO +  ENCARGOS E BENEFÍCIOS DO AVISO PRÉVIO TRABALHADO</t>
  </si>
  <si>
    <t>Incidência dos Encargos Submódulo 2.2</t>
  </si>
  <si>
    <t>MULTA DO FGTS SOBRE O AVISO PRÉVIO TRABALHADO</t>
  </si>
  <si>
    <t>Incidência Submódulo 2,2</t>
  </si>
  <si>
    <t>ESCALAS</t>
  </si>
  <si>
    <t>Total Aviso Prévio Indenizado</t>
  </si>
  <si>
    <t>Total Aviso Prévio Trabalhado</t>
  </si>
  <si>
    <t>RATEIO CHEFIA DE CAMPO</t>
  </si>
  <si>
    <t>Rateio Chefia de Campo</t>
  </si>
  <si>
    <t xml:space="preserve">Outros </t>
  </si>
  <si>
    <t>Outros</t>
  </si>
  <si>
    <r>
      <t>BENEFÍCIO YYY</t>
    </r>
    <r>
      <rPr>
        <sz val="12"/>
        <color theme="1"/>
        <rFont val="Times New Roman"/>
        <family val="1"/>
      </rPr>
      <t xml:space="preserve">
</t>
    </r>
    <r>
      <rPr>
        <sz val="12"/>
        <color rgb="FFFF0000"/>
        <rFont val="Times New Roman"/>
        <family val="1"/>
      </rPr>
      <t>Utilizar este campo em caso de outros benefícios previstos em Convenção Coletiva, sempre especificando o tipo, finalidade e previsão legal do mesmo.</t>
    </r>
  </si>
  <si>
    <t>RATEIO DO SUPERVISOR</t>
  </si>
  <si>
    <t>Supervisor - Vigilante Líder</t>
  </si>
  <si>
    <t xml:space="preserve">ADICIONAL NOTURNO </t>
  </si>
  <si>
    <t>GRATIFICAÇÃO DE FUNÇÃO E ADICIONAIS</t>
  </si>
  <si>
    <t xml:space="preserve">ADICIONAL </t>
  </si>
  <si>
    <t xml:space="preserve">CUSTO BENEFÍCIO PROGRAMA FAMILIAR  E SAUDE -  CARD SAÚDE- ABRAPS BOMBANK </t>
  </si>
  <si>
    <t>Horas</t>
  </si>
  <si>
    <t>Especificação</t>
  </si>
  <si>
    <t>Unidades</t>
  </si>
  <si>
    <t>Quant. Anual</t>
  </si>
  <si>
    <t>Valor Unit. R$</t>
  </si>
  <si>
    <t>Valor Médio Anual</t>
  </si>
  <si>
    <t>Unid.</t>
  </si>
  <si>
    <t>Par</t>
  </si>
  <si>
    <t>Valor Mensal por Trabalhador</t>
  </si>
  <si>
    <t>Coturno</t>
  </si>
  <si>
    <t>Boné</t>
  </si>
  <si>
    <t>Cinto de Nylon</t>
  </si>
  <si>
    <t>Jaqueta</t>
  </si>
  <si>
    <t>Meia</t>
  </si>
  <si>
    <t>Crachá</t>
  </si>
  <si>
    <t>Capa de Chuva</t>
  </si>
  <si>
    <t>Capa de Colete</t>
  </si>
  <si>
    <t>Valor Médio Mensal</t>
  </si>
  <si>
    <t>Valor Anual por Trabalhador</t>
  </si>
  <si>
    <t>Cinto de Guarnição</t>
  </si>
  <si>
    <t>Livro de Ocorrência</t>
  </si>
  <si>
    <t>Cassetete</t>
  </si>
  <si>
    <t>Porta cassetete</t>
  </si>
  <si>
    <t>Apito com Cordão</t>
  </si>
  <si>
    <t>Lanterna Com Bateria sobressalente</t>
  </si>
  <si>
    <t>Munição</t>
  </si>
  <si>
    <t>Colete (Placa)</t>
  </si>
  <si>
    <t>Rádio Comunicador</t>
  </si>
  <si>
    <t>Bastão de Ronda Eletrônica</t>
  </si>
  <si>
    <t>Prancheta</t>
  </si>
  <si>
    <t>Caneta</t>
  </si>
  <si>
    <t>Motocicleta</t>
  </si>
  <si>
    <t>Litro</t>
  </si>
  <si>
    <t>Quantidade Anual</t>
  </si>
  <si>
    <t>Valor Anual</t>
  </si>
  <si>
    <t xml:space="preserve">MATERIAIS - COMPOSIÇÃO - VALOR ANUAL </t>
  </si>
  <si>
    <t>Custo com Materiais</t>
  </si>
  <si>
    <t>Custo com Equipamentos - Depreciação</t>
  </si>
  <si>
    <t>Vida Útil (meses)</t>
  </si>
  <si>
    <t>Duração dos itens - em meses (vida útil)</t>
  </si>
  <si>
    <t>UNIFORMES - Por Vigilante</t>
  </si>
  <si>
    <t>EQUIPAMENTOS - DEPRECIAÇÃO - Por Posto</t>
  </si>
  <si>
    <t>Valor Depreciação Mensal</t>
  </si>
  <si>
    <t>Valor Anual por Posto</t>
  </si>
  <si>
    <t>Valor Mensal por Posto</t>
  </si>
  <si>
    <t>Custo anual por Posto</t>
  </si>
  <si>
    <t>MATERIAIS - Posto Motorizado</t>
  </si>
  <si>
    <t>TOTAL DE VIGILANTES</t>
  </si>
  <si>
    <t>TOTAL DE POSTOS</t>
  </si>
  <si>
    <t>Valor Anual do Contrato</t>
  </si>
  <si>
    <t>Valor Mensal do Contrato</t>
  </si>
  <si>
    <t>Valor Mensal Por Posto</t>
  </si>
  <si>
    <t>Valor Mensal Por Vigilante</t>
  </si>
  <si>
    <t>Quantidade de Vigilantes</t>
  </si>
  <si>
    <t>Quantidade de Postos</t>
  </si>
  <si>
    <t>RESUMO - ESTIMATIVA DE PREÇO</t>
  </si>
  <si>
    <t>TERENOS - PROPOSTA DE PREÇO</t>
  </si>
  <si>
    <t>CAMPO GRANDE - PROPOSTA DE PREÇO</t>
  </si>
  <si>
    <t>Gasolina - Campo Grande</t>
  </si>
  <si>
    <t>Gasolina - Terenos</t>
  </si>
  <si>
    <t>Valor Anual por Posto - Campo Grande</t>
  </si>
  <si>
    <t>Valor Mensal por Posto - Campo Grande</t>
  </si>
  <si>
    <t>Valor Anual por Posto - Terenos</t>
  </si>
  <si>
    <t>Valor Mensal por Posto - Terenos</t>
  </si>
  <si>
    <t>Trevolver Calibre 38</t>
  </si>
  <si>
    <t>MATERIAIS - Por posto</t>
  </si>
  <si>
    <t>EQUIPAMENTOS - DEPRECIAÇÃO - Posto Motorizado</t>
  </si>
  <si>
    <t>VALOR GLOBAL MENSAL</t>
  </si>
  <si>
    <t>VALOR GLOBAL ANUAL</t>
  </si>
  <si>
    <t>MATERIAIS</t>
  </si>
  <si>
    <t>MATERIAIS - COMPOSIÇÃO - VALOR ANUAL  - Apenas Posto Motorizado</t>
  </si>
  <si>
    <t>Custo anual por Posto - Campo Grande</t>
  </si>
  <si>
    <t>Custo anual por Posto - Terenos</t>
  </si>
  <si>
    <t>Vig. Motorizado  - Terenos (12x36 Diurno)</t>
  </si>
  <si>
    <t>Vig. Motorizado  - Terenos (12x36 Noturno)</t>
  </si>
  <si>
    <t>Vig. Motorizado  - CG (12x36 Diurno)</t>
  </si>
  <si>
    <t>Vig. Motorizado  - CG (12x36 Noturno)</t>
  </si>
  <si>
    <t>EQUIPAMENTOS - Depreciação</t>
  </si>
  <si>
    <t>Depreciação Mensal</t>
  </si>
  <si>
    <t>EQUIPAMENTOS - Depreciação - Apenas Posto Motorizado</t>
  </si>
  <si>
    <t>Posto de vigilância armada, de 12 horas diurnas, jornada de 12x36, de segunda-feira a domingo, totalizando 360 horas mensais.</t>
  </si>
  <si>
    <t>Posto de vigilância armada, de 12 horas noturnas, jornada de 12x36, de segunda-feira a domingo, totalizando 360 horas mensais.</t>
  </si>
  <si>
    <t>Posto motorizado (motocicleta) de vigilância armada, 12 horas diurnas, jornada de 12x36, de segunda-feira a domingo totalizando 360 horas mensais.</t>
  </si>
  <si>
    <t>Posto motorizado (motocicleta) de vigilância armada, 12 horas noturnas, jornada de 12x36, de segunda-feira a domingo totalizando 360 horas mensais.</t>
  </si>
  <si>
    <t>VIGILANTE MOTORIZADO - Terenos</t>
  </si>
  <si>
    <t>VIGILANTE MOTORIZADO - Campo Grande</t>
  </si>
  <si>
    <t>Vigilante Motorizado - CG (12x36 Diurno)</t>
  </si>
  <si>
    <t>Vigilante Motorizado - Terenos (12x36 Diurno)</t>
  </si>
  <si>
    <t>VIGILANTE - Campo Grande</t>
  </si>
  <si>
    <t>CONFORME CONVENÇÃO COLETIVA DE TRABALHO 2024/2026 - NÚMERO DE REGISTRO NO MTE: MS000168/2024</t>
  </si>
  <si>
    <t>SALÁRIO BASE - Cláusula 3ª, CCT 2024/2026</t>
  </si>
  <si>
    <t>GRATIFICAÇÃO DE FUNÇÃO E ADICIONAIS - Cláusula 12ª CCT 2024/2026, § 1º, Alínea a</t>
  </si>
  <si>
    <t>GRATIFICAÇÃO DE FUNÇÃO E ADICIONAIS - Cláusula 12ª CCT 2024/2026, § 2º, Alínea a</t>
  </si>
  <si>
    <t>ADICIONAIS (periculosidade ou insalubridade, se houver)  - Cláusula 14º CCT 2024/2026</t>
  </si>
  <si>
    <t>ADICIONAL NOTURNO - Cláusula 13ª CCT 2024/2026</t>
  </si>
  <si>
    <t>ADICIONAL - Clausula 31º, § 4º - CCT 2024/2026</t>
  </si>
  <si>
    <t>Salário Base - Cláusula 3ª, CCT 2024/2026</t>
  </si>
  <si>
    <t xml:space="preserve">Gratificação de Função e Adicional -  Cláusula 12ª CCT 2024/2026, § 1º, Alínea a </t>
  </si>
  <si>
    <t xml:space="preserve">Gratificação de Função e Adicional -  Cláusula 12ª CCT 2024/2026, § 2º, Alínea a </t>
  </si>
  <si>
    <t>Adicional de   Periculosidade   - Cláusula 14º CCT 2024/2026</t>
  </si>
  <si>
    <t>Adicional Noturno - Cláusula 13ª CCT 2024/2026</t>
  </si>
  <si>
    <t>Adicional - Clausula 31º, § 4º - CCT 2024/2026</t>
  </si>
  <si>
    <t>VALE TRANSPORTE - Cláusula 16ª CCT 2024/2026</t>
  </si>
  <si>
    <t>VALE ALIMENTAÇÃO/REFEIÇÃO - Cláusula 15ª CCT 2024/2026</t>
  </si>
  <si>
    <t>BENEFÍCIO PROGRAMA FAMILIAR E SAÚDE - Cláusula 58ª CCT 2024/2026</t>
  </si>
  <si>
    <t>Vale Refeição - Cláusula 15ª CCT 2024/2026</t>
  </si>
  <si>
    <t xml:space="preserve"> Card Saúde- Abraps Bombank - Clausula 58º CCT 2024/2026</t>
  </si>
  <si>
    <t>Vale Transporte - Cláusula 16ª CCT 2024/2026</t>
  </si>
  <si>
    <t>Vigilante Motorizado - CG (12x36 Noturno)</t>
  </si>
  <si>
    <t>Vigilante Motorizado - Terenos (12x36 Noturno)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</si>
</sst>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.00;[Red]#,##0.00"/>
    <numFmt numFmtId="165" formatCode="0.0000"/>
    <numFmt numFmtId="166" formatCode="#,##0.0000_ ;\-#,##0.0000\ "/>
    <numFmt numFmtId="167" formatCode="_(* #,##0.00_);_(* \(#,##0.00\);_(* \-??_);_(@_)"/>
    <numFmt numFmtId="168" formatCode="#,##0_ ;\-#,##0\ "/>
    <numFmt numFmtId="169" formatCode="0.0000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2"/>
      <color rgb="FF00B050"/>
      <name val="Times New Roman"/>
      <family val="1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2"/>
      <color rgb="FFFF0000"/>
      <name val="Times New Roman"/>
      <family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8"/>
      <color theme="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Times New Roman"/>
      <family val="1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</font>
  </fonts>
  <fills count="4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41"/>
      </patternFill>
    </fill>
    <fill>
      <patternFill patternType="solid">
        <fgColor theme="4" tint="0.39997558519241921"/>
        <b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9CC2E5"/>
        <bgColor rgb="FF9CC2E5"/>
      </patternFill>
    </fill>
    <fill>
      <patternFill patternType="solid">
        <fgColor theme="4"/>
        <bgColor indexed="64"/>
      </patternFill>
    </fill>
    <fill>
      <patternFill patternType="solid">
        <fgColor rgb="FFDEEAF6"/>
        <bgColor rgb="FFDEEAF6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indexed="64"/>
      </right>
      <top/>
      <bottom/>
      <diagonal/>
    </border>
  </borders>
  <cellStyleXfs count="5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5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41" applyNumberFormat="0" applyFill="0" applyAlignment="0" applyProtection="0"/>
    <xf numFmtId="0" fontId="9" fillId="0" borderId="42" applyNumberFormat="0" applyFill="0" applyAlignment="0" applyProtection="0"/>
    <xf numFmtId="0" fontId="10" fillId="0" borderId="43" applyNumberFormat="0" applyFill="0" applyAlignment="0" applyProtection="0"/>
    <xf numFmtId="0" fontId="10" fillId="0" borderId="0" applyNumberFormat="0" applyFill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0" applyNumberFormat="0" applyBorder="0" applyAlignment="0" applyProtection="0"/>
    <xf numFmtId="0" fontId="14" fillId="8" borderId="44" applyNumberFormat="0" applyAlignment="0" applyProtection="0"/>
    <xf numFmtId="0" fontId="15" fillId="9" borderId="45" applyNumberFormat="0" applyAlignment="0" applyProtection="0"/>
    <xf numFmtId="0" fontId="16" fillId="9" borderId="44" applyNumberFormat="0" applyAlignment="0" applyProtection="0"/>
    <xf numFmtId="0" fontId="17" fillId="0" borderId="46" applyNumberFormat="0" applyFill="0" applyAlignment="0" applyProtection="0"/>
    <xf numFmtId="0" fontId="18" fillId="10" borderId="47" applyNumberFormat="0" applyAlignment="0" applyProtection="0"/>
    <xf numFmtId="0" fontId="19" fillId="0" borderId="0" applyNumberFormat="0" applyFill="0" applyBorder="0" applyAlignment="0" applyProtection="0"/>
    <xf numFmtId="0" fontId="1" fillId="11" borderId="4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49" applyNumberFormat="0" applyFill="0" applyAlignment="0" applyProtection="0"/>
    <xf numFmtId="0" fontId="2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2" fillId="35" borderId="0" applyNumberFormat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4" fillId="0" borderId="0"/>
  </cellStyleXfs>
  <cellXfs count="454">
    <xf numFmtId="0" fontId="0" fillId="0" borderId="0" xfId="0"/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10" fontId="3" fillId="0" borderId="5" xfId="1" applyNumberFormat="1" applyFont="1" applyBorder="1" applyAlignment="1">
      <alignment horizontal="center" vertical="center"/>
    </xf>
    <xf numFmtId="10" fontId="3" fillId="0" borderId="3" xfId="1" applyNumberFormat="1" applyFont="1" applyBorder="1" applyAlignment="1">
      <alignment horizontal="center" vertical="center"/>
    </xf>
    <xf numFmtId="10" fontId="3" fillId="0" borderId="7" xfId="1" applyNumberFormat="1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0" fontId="3" fillId="0" borderId="1" xfId="0" applyNumberFormat="1" applyFont="1" applyBorder="1" applyAlignment="1">
      <alignment horizontal="center" vertical="center"/>
    </xf>
    <xf numFmtId="40" fontId="2" fillId="0" borderId="5" xfId="0" applyNumberFormat="1" applyFont="1" applyBorder="1" applyAlignment="1">
      <alignment horizontal="center" vertical="center"/>
    </xf>
    <xf numFmtId="40" fontId="3" fillId="0" borderId="12" xfId="0" applyNumberFormat="1" applyFont="1" applyBorder="1" applyAlignment="1">
      <alignment horizontal="center" vertical="center"/>
    </xf>
    <xf numFmtId="40" fontId="2" fillId="0" borderId="3" xfId="0" applyNumberFormat="1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9" fontId="3" fillId="0" borderId="2" xfId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165" fontId="2" fillId="2" borderId="15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4" fontId="2" fillId="2" borderId="15" xfId="0" applyNumberFormat="1" applyFont="1" applyFill="1" applyBorder="1" applyAlignment="1">
      <alignment horizontal="center" vertical="center"/>
    </xf>
    <xf numFmtId="10" fontId="3" fillId="0" borderId="9" xfId="1" applyNumberFormat="1" applyFont="1" applyFill="1" applyBorder="1" applyAlignment="1">
      <alignment horizontal="center" vertical="center"/>
    </xf>
    <xf numFmtId="10" fontId="3" fillId="0" borderId="5" xfId="1" applyNumberFormat="1" applyFont="1" applyFill="1" applyBorder="1" applyAlignment="1">
      <alignment horizontal="center" vertical="center"/>
    </xf>
    <xf numFmtId="10" fontId="3" fillId="0" borderId="26" xfId="1" applyNumberFormat="1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/>
    </xf>
    <xf numFmtId="40" fontId="3" fillId="0" borderId="13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9" fontId="3" fillId="0" borderId="12" xfId="1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9" fontId="3" fillId="0" borderId="13" xfId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64" fontId="3" fillId="0" borderId="25" xfId="0" applyNumberFormat="1" applyFont="1" applyBorder="1" applyAlignment="1">
      <alignment horizontal="center" vertical="center"/>
    </xf>
    <xf numFmtId="9" fontId="3" fillId="0" borderId="25" xfId="1" applyFont="1" applyBorder="1" applyAlignment="1">
      <alignment horizontal="center" vertical="center"/>
    </xf>
    <xf numFmtId="10" fontId="3" fillId="0" borderId="12" xfId="1" applyNumberFormat="1" applyFont="1" applyBorder="1" applyAlignment="1">
      <alignment horizontal="center" vertical="center"/>
    </xf>
    <xf numFmtId="10" fontId="3" fillId="0" borderId="13" xfId="1" applyNumberFormat="1" applyFont="1" applyBorder="1" applyAlignment="1">
      <alignment horizontal="center" vertical="center"/>
    </xf>
    <xf numFmtId="164" fontId="2" fillId="0" borderId="26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0" fontId="3" fillId="0" borderId="13" xfId="0" applyNumberFormat="1" applyFont="1" applyBorder="1" applyAlignment="1">
      <alignment horizontal="center" vertical="center"/>
    </xf>
    <xf numFmtId="10" fontId="3" fillId="0" borderId="12" xfId="0" applyNumberFormat="1" applyFont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/>
    </xf>
    <xf numFmtId="39" fontId="3" fillId="0" borderId="12" xfId="5" applyNumberFormat="1" applyFont="1" applyFill="1" applyBorder="1" applyAlignment="1" applyProtection="1">
      <alignment horizontal="center" vertical="center"/>
    </xf>
    <xf numFmtId="39" fontId="3" fillId="0" borderId="1" xfId="5" applyNumberFormat="1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3" fillId="38" borderId="4" xfId="0" applyFont="1" applyFill="1" applyBorder="1" applyAlignment="1">
      <alignment horizontal="center" vertical="center" wrapText="1"/>
    </xf>
    <xf numFmtId="10" fontId="3" fillId="38" borderId="5" xfId="1" applyNumberFormat="1" applyFont="1" applyFill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10" fontId="3" fillId="0" borderId="12" xfId="1" applyNumberFormat="1" applyFont="1" applyFill="1" applyBorder="1" applyAlignment="1" applyProtection="1">
      <alignment horizontal="center" vertical="center"/>
    </xf>
    <xf numFmtId="10" fontId="3" fillId="0" borderId="1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vertical="center"/>
    </xf>
    <xf numFmtId="167" fontId="3" fillId="0" borderId="0" xfId="3" applyFont="1" applyFill="1" applyBorder="1" applyAlignment="1" applyProtection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1" fontId="29" fillId="0" borderId="14" xfId="3" applyNumberFormat="1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1" fontId="29" fillId="0" borderId="1" xfId="3" applyNumberFormat="1" applyFont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 wrapText="1"/>
    </xf>
    <xf numFmtId="4" fontId="27" fillId="0" borderId="3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2" xfId="0" applyFont="1" applyBorder="1" applyAlignment="1">
      <alignment vertical="center" wrapText="1"/>
    </xf>
    <xf numFmtId="0" fontId="3" fillId="0" borderId="52" xfId="0" applyFont="1" applyBorder="1" applyAlignment="1">
      <alignment horizontal="center" vertical="center" wrapText="1"/>
    </xf>
    <xf numFmtId="10" fontId="3" fillId="0" borderId="52" xfId="0" applyNumberFormat="1" applyFont="1" applyBorder="1" applyAlignment="1">
      <alignment horizontal="center" vertical="center" wrapText="1"/>
    </xf>
    <xf numFmtId="10" fontId="3" fillId="36" borderId="5" xfId="1" applyNumberFormat="1" applyFont="1" applyFill="1" applyBorder="1" applyAlignment="1">
      <alignment horizontal="center" vertical="center"/>
    </xf>
    <xf numFmtId="0" fontId="2" fillId="0" borderId="29" xfId="0" applyFont="1" applyBorder="1" applyAlignment="1">
      <alignment vertical="center" wrapText="1"/>
    </xf>
    <xf numFmtId="0" fontId="3" fillId="0" borderId="0" xfId="0" applyFont="1"/>
    <xf numFmtId="0" fontId="2" fillId="0" borderId="33" xfId="0" applyFont="1" applyBorder="1" applyAlignment="1">
      <alignment horizontal="center" vertical="center" wrapText="1"/>
    </xf>
    <xf numFmtId="4" fontId="29" fillId="37" borderId="14" xfId="3" applyNumberFormat="1" applyFont="1" applyFill="1" applyBorder="1" applyAlignment="1">
      <alignment horizontal="center" vertical="center"/>
    </xf>
    <xf numFmtId="4" fontId="29" fillId="37" borderId="1" xfId="3" applyNumberFormat="1" applyFont="1" applyFill="1" applyBorder="1" applyAlignment="1">
      <alignment horizontal="center" vertical="center"/>
    </xf>
    <xf numFmtId="0" fontId="2" fillId="40" borderId="16" xfId="0" applyFont="1" applyFill="1" applyBorder="1" applyAlignment="1">
      <alignment horizontal="center" vertical="center"/>
    </xf>
    <xf numFmtId="10" fontId="2" fillId="40" borderId="17" xfId="1" applyNumberFormat="1" applyFont="1" applyFill="1" applyBorder="1" applyAlignment="1">
      <alignment horizontal="center" vertical="center"/>
    </xf>
    <xf numFmtId="10" fontId="3" fillId="36" borderId="12" xfId="0" applyNumberFormat="1" applyFont="1" applyFill="1" applyBorder="1" applyAlignment="1">
      <alignment horizontal="center" vertical="center"/>
    </xf>
    <xf numFmtId="10" fontId="3" fillId="36" borderId="1" xfId="0" applyNumberFormat="1" applyFont="1" applyFill="1" applyBorder="1" applyAlignment="1">
      <alignment horizontal="center" vertical="center"/>
    </xf>
    <xf numFmtId="10" fontId="3" fillId="36" borderId="13" xfId="0" applyNumberFormat="1" applyFont="1" applyFill="1" applyBorder="1" applyAlignment="1">
      <alignment horizontal="center" vertical="center"/>
    </xf>
    <xf numFmtId="0" fontId="28" fillId="3" borderId="10" xfId="0" applyFont="1" applyFill="1" applyBorder="1" applyAlignment="1">
      <alignment horizontal="center" vertical="center"/>
    </xf>
    <xf numFmtId="0" fontId="28" fillId="3" borderId="15" xfId="0" applyFont="1" applyFill="1" applyBorder="1" applyAlignment="1">
      <alignment horizontal="center" vertical="center"/>
    </xf>
    <xf numFmtId="0" fontId="28" fillId="3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32" xfId="0" applyFont="1" applyBorder="1" applyAlignment="1">
      <alignment horizontal="center" vertical="center" wrapText="1"/>
    </xf>
    <xf numFmtId="0" fontId="3" fillId="0" borderId="40" xfId="0" applyFont="1" applyBorder="1" applyAlignment="1">
      <alignment vertical="center" wrapText="1"/>
    </xf>
    <xf numFmtId="43" fontId="3" fillId="0" borderId="52" xfId="2" applyFont="1" applyBorder="1" applyAlignment="1">
      <alignment horizontal="center" vertical="center" wrapText="1"/>
    </xf>
    <xf numFmtId="43" fontId="3" fillId="0" borderId="52" xfId="0" applyNumberFormat="1" applyFont="1" applyBorder="1" applyAlignment="1">
      <alignment horizontal="center" vertical="center" wrapText="1"/>
    </xf>
    <xf numFmtId="43" fontId="2" fillId="0" borderId="52" xfId="0" applyNumberFormat="1" applyFont="1" applyBorder="1" applyAlignment="1">
      <alignment horizontal="center" vertical="center" wrapText="1"/>
    </xf>
    <xf numFmtId="2" fontId="3" fillId="0" borderId="52" xfId="0" applyNumberFormat="1" applyFont="1" applyBorder="1" applyAlignment="1">
      <alignment horizontal="right" vertical="center" wrapText="1"/>
    </xf>
    <xf numFmtId="43" fontId="2" fillId="0" borderId="52" xfId="2" applyFont="1" applyBorder="1" applyAlignment="1">
      <alignment horizontal="center" vertical="center" wrapText="1"/>
    </xf>
    <xf numFmtId="43" fontId="3" fillId="0" borderId="52" xfId="0" applyNumberFormat="1" applyFont="1" applyBorder="1" applyAlignment="1">
      <alignment vertical="center" wrapText="1"/>
    </xf>
    <xf numFmtId="43" fontId="2" fillId="0" borderId="52" xfId="0" applyNumberFormat="1" applyFont="1" applyBorder="1" applyAlignment="1">
      <alignment vertical="center" wrapText="1"/>
    </xf>
    <xf numFmtId="43" fontId="3" fillId="0" borderId="40" xfId="0" applyNumberFormat="1" applyFont="1" applyBorder="1" applyAlignment="1">
      <alignment vertical="center" wrapText="1"/>
    </xf>
    <xf numFmtId="43" fontId="3" fillId="0" borderId="0" xfId="0" applyNumberFormat="1" applyFont="1"/>
    <xf numFmtId="2" fontId="2" fillId="0" borderId="52" xfId="0" applyNumberFormat="1" applyFont="1" applyBorder="1" applyAlignment="1">
      <alignment horizontal="right" vertical="center" wrapText="1"/>
    </xf>
    <xf numFmtId="0" fontId="24" fillId="0" borderId="0" xfId="0" applyFont="1" applyAlignment="1">
      <alignment horizontal="center"/>
    </xf>
    <xf numFmtId="10" fontId="2" fillId="0" borderId="52" xfId="0" applyNumberFormat="1" applyFont="1" applyBorder="1" applyAlignment="1">
      <alignment horizontal="center" vertical="center" wrapText="1"/>
    </xf>
    <xf numFmtId="43" fontId="2" fillId="0" borderId="31" xfId="0" applyNumberFormat="1" applyFont="1" applyBorder="1" applyAlignment="1">
      <alignment vertical="center" wrapText="1"/>
    </xf>
    <xf numFmtId="43" fontId="0" fillId="0" borderId="0" xfId="0" applyNumberFormat="1"/>
    <xf numFmtId="0" fontId="21" fillId="0" borderId="0" xfId="0" applyFont="1"/>
    <xf numFmtId="0" fontId="4" fillId="2" borderId="22" xfId="0" applyFont="1" applyFill="1" applyBorder="1" applyAlignment="1">
      <alignment horizontal="center" vertical="justify"/>
    </xf>
    <xf numFmtId="9" fontId="27" fillId="0" borderId="12" xfId="1" applyFont="1" applyBorder="1" applyAlignment="1">
      <alignment horizontal="center" vertical="center"/>
    </xf>
    <xf numFmtId="2" fontId="3" fillId="0" borderId="3" xfId="2" applyNumberFormat="1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2" fontId="3" fillId="0" borderId="7" xfId="2" applyNumberFormat="1" applyFont="1" applyBorder="1" applyAlignment="1">
      <alignment horizontal="center" vertical="center"/>
    </xf>
    <xf numFmtId="9" fontId="3" fillId="0" borderId="14" xfId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164" fontId="3" fillId="0" borderId="60" xfId="0" applyNumberFormat="1" applyFont="1" applyBorder="1" applyAlignment="1">
      <alignment horizontal="center" vertical="center"/>
    </xf>
    <xf numFmtId="10" fontId="3" fillId="0" borderId="60" xfId="1" applyNumberFormat="1" applyFont="1" applyBorder="1" applyAlignment="1">
      <alignment horizontal="center" vertical="center"/>
    </xf>
    <xf numFmtId="9" fontId="3" fillId="0" borderId="60" xfId="1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0" fontId="3" fillId="0" borderId="15" xfId="1" applyNumberFormat="1" applyFont="1" applyBorder="1" applyAlignment="1">
      <alignment horizontal="center" vertical="center"/>
    </xf>
    <xf numFmtId="9" fontId="3" fillId="0" borderId="15" xfId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2" fontId="3" fillId="0" borderId="9" xfId="2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43" borderId="63" xfId="0" applyFont="1" applyFill="1" applyBorder="1" applyAlignment="1">
      <alignment horizontal="center" vertical="center"/>
    </xf>
    <xf numFmtId="0" fontId="2" fillId="43" borderId="64" xfId="0" applyFont="1" applyFill="1" applyBorder="1" applyAlignment="1">
      <alignment horizontal="center" vertical="center"/>
    </xf>
    <xf numFmtId="0" fontId="2" fillId="43" borderId="64" xfId="0" applyFont="1" applyFill="1" applyBorder="1" applyAlignment="1">
      <alignment horizontal="center" vertical="center" wrapText="1"/>
    </xf>
    <xf numFmtId="0" fontId="2" fillId="43" borderId="65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2" fillId="43" borderId="67" xfId="0" applyFont="1" applyFill="1" applyBorder="1" applyAlignment="1">
      <alignment horizontal="center" vertical="center"/>
    </xf>
    <xf numFmtId="0" fontId="2" fillId="43" borderId="68" xfId="0" applyFont="1" applyFill="1" applyBorder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0" fontId="2" fillId="43" borderId="68" xfId="0" applyFont="1" applyFill="1" applyBorder="1" applyAlignment="1">
      <alignment horizontal="center" vertical="center" wrapText="1"/>
    </xf>
    <xf numFmtId="0" fontId="2" fillId="43" borderId="69" xfId="0" applyFont="1" applyFill="1" applyBorder="1" applyAlignment="1">
      <alignment horizontal="center" vertical="center"/>
    </xf>
    <xf numFmtId="0" fontId="3" fillId="0" borderId="50" xfId="0" applyFont="1" applyBorder="1" applyAlignment="1">
      <alignment horizontal="center" vertical="center" wrapText="1"/>
    </xf>
    <xf numFmtId="0" fontId="2" fillId="43" borderId="71" xfId="0" applyFont="1" applyFill="1" applyBorder="1" applyAlignment="1">
      <alignment horizontal="center" vertical="center"/>
    </xf>
    <xf numFmtId="0" fontId="2" fillId="43" borderId="72" xfId="0" applyFont="1" applyFill="1" applyBorder="1" applyAlignment="1">
      <alignment horizontal="center" vertical="center" wrapText="1"/>
    </xf>
    <xf numFmtId="0" fontId="2" fillId="43" borderId="72" xfId="0" applyFont="1" applyFill="1" applyBorder="1" applyAlignment="1">
      <alignment horizontal="center" vertical="center"/>
    </xf>
    <xf numFmtId="0" fontId="2" fillId="43" borderId="73" xfId="0" applyFont="1" applyFill="1" applyBorder="1" applyAlignment="1">
      <alignment horizontal="center" vertical="center"/>
    </xf>
    <xf numFmtId="10" fontId="3" fillId="0" borderId="14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 wrapText="1"/>
    </xf>
    <xf numFmtId="10" fontId="3" fillId="0" borderId="60" xfId="1" applyNumberFormat="1" applyFont="1" applyFill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10" fontId="3" fillId="0" borderId="15" xfId="1" applyNumberFormat="1" applyFont="1" applyFill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0" fontId="30" fillId="0" borderId="0" xfId="0" applyFont="1" applyAlignment="1">
      <alignment horizontal="center"/>
    </xf>
    <xf numFmtId="167" fontId="4" fillId="3" borderId="20" xfId="0" applyNumberFormat="1" applyFont="1" applyFill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justify" vertical="center" wrapText="1"/>
    </xf>
    <xf numFmtId="43" fontId="3" fillId="0" borderId="12" xfId="2" applyFont="1" applyBorder="1" applyAlignment="1">
      <alignment horizontal="center" vertical="center" wrapText="1"/>
    </xf>
    <xf numFmtId="43" fontId="3" fillId="0" borderId="3" xfId="2" applyFont="1" applyBorder="1" applyAlignment="1">
      <alignment horizontal="center" vertical="center" wrapText="1"/>
    </xf>
    <xf numFmtId="43" fontId="3" fillId="0" borderId="5" xfId="2" applyFont="1" applyBorder="1" applyAlignment="1">
      <alignment horizontal="center" vertical="center" wrapText="1"/>
    </xf>
    <xf numFmtId="0" fontId="3" fillId="0" borderId="25" xfId="0" applyFont="1" applyBorder="1" applyAlignment="1">
      <alignment horizontal="justify" vertical="center" wrapText="1"/>
    </xf>
    <xf numFmtId="43" fontId="3" fillId="0" borderId="26" xfId="2" applyFont="1" applyBorder="1" applyAlignment="1">
      <alignment horizontal="center" vertical="center" wrapText="1"/>
    </xf>
    <xf numFmtId="10" fontId="3" fillId="0" borderId="1" xfId="2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0" fontId="3" fillId="0" borderId="25" xfId="2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justify" vertical="center" wrapText="1"/>
    </xf>
    <xf numFmtId="10" fontId="2" fillId="0" borderId="15" xfId="2" applyNumberFormat="1" applyFont="1" applyBorder="1" applyAlignment="1">
      <alignment horizontal="center" vertical="center" wrapText="1"/>
    </xf>
    <xf numFmtId="43" fontId="2" fillId="0" borderId="11" xfId="2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0" fontId="2" fillId="0" borderId="0" xfId="0" applyNumberFormat="1" applyFont="1" applyAlignment="1">
      <alignment horizontal="center" vertical="center" wrapText="1"/>
    </xf>
    <xf numFmtId="43" fontId="2" fillId="0" borderId="0" xfId="2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4" fontId="3" fillId="0" borderId="70" xfId="0" applyNumberFormat="1" applyFont="1" applyBorder="1" applyAlignment="1">
      <alignment horizontal="right" vertical="center" wrapText="1"/>
    </xf>
    <xf numFmtId="0" fontId="24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10" fontId="3" fillId="0" borderId="25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justify" vertical="center" wrapText="1"/>
    </xf>
    <xf numFmtId="10" fontId="2" fillId="0" borderId="14" xfId="0" applyNumberFormat="1" applyFont="1" applyBorder="1" applyAlignment="1">
      <alignment horizontal="center" vertical="center" wrapText="1"/>
    </xf>
    <xf numFmtId="10" fontId="2" fillId="0" borderId="15" xfId="0" applyNumberFormat="1" applyFont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/>
    </xf>
    <xf numFmtId="167" fontId="4" fillId="3" borderId="32" xfId="3" applyFont="1" applyFill="1" applyBorder="1" applyAlignment="1" applyProtection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3" fontId="3" fillId="0" borderId="12" xfId="3" applyNumberFormat="1" applyFont="1" applyFill="1" applyBorder="1" applyAlignment="1" applyProtection="1">
      <alignment horizontal="center" vertical="center"/>
    </xf>
    <xf numFmtId="4" fontId="4" fillId="3" borderId="11" xfId="0" applyNumberFormat="1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vertical="center"/>
    </xf>
    <xf numFmtId="165" fontId="2" fillId="2" borderId="11" xfId="0" applyNumberFormat="1" applyFont="1" applyFill="1" applyBorder="1" applyAlignment="1">
      <alignment horizontal="center" vertical="center" wrapText="1"/>
    </xf>
    <xf numFmtId="39" fontId="3" fillId="0" borderId="13" xfId="5" applyNumberFormat="1" applyFont="1" applyFill="1" applyBorder="1" applyAlignment="1" applyProtection="1">
      <alignment horizontal="center" vertical="center"/>
    </xf>
    <xf numFmtId="10" fontId="3" fillId="0" borderId="13" xfId="1" applyNumberFormat="1" applyFont="1" applyFill="1" applyBorder="1" applyAlignment="1" applyProtection="1">
      <alignment horizontal="center" vertical="center"/>
    </xf>
    <xf numFmtId="10" fontId="3" fillId="0" borderId="25" xfId="0" applyNumberFormat="1" applyFont="1" applyBorder="1" applyAlignment="1">
      <alignment horizontal="center" vertical="center"/>
    </xf>
    <xf numFmtId="40" fontId="2" fillId="0" borderId="7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/>
    </xf>
    <xf numFmtId="164" fontId="3" fillId="0" borderId="38" xfId="0" applyNumberFormat="1" applyFont="1" applyBorder="1" applyAlignment="1">
      <alignment horizontal="center" vertical="center"/>
    </xf>
    <xf numFmtId="10" fontId="3" fillId="0" borderId="38" xfId="1" applyNumberFormat="1" applyFont="1" applyBorder="1" applyAlignment="1">
      <alignment horizontal="center" vertical="center"/>
    </xf>
    <xf numFmtId="9" fontId="3" fillId="0" borderId="38" xfId="1" applyFont="1" applyBorder="1" applyAlignment="1">
      <alignment horizontal="center" vertical="center"/>
    </xf>
    <xf numFmtId="164" fontId="2" fillId="0" borderId="52" xfId="0" applyNumberFormat="1" applyFont="1" applyBorder="1" applyAlignment="1">
      <alignment horizontal="center" vertical="center"/>
    </xf>
    <xf numFmtId="1" fontId="3" fillId="0" borderId="75" xfId="0" applyNumberFormat="1" applyFont="1" applyBorder="1" applyAlignment="1">
      <alignment horizontal="center" vertical="center"/>
    </xf>
    <xf numFmtId="1" fontId="3" fillId="0" borderId="58" xfId="0" applyNumberFormat="1" applyFont="1" applyBorder="1" applyAlignment="1">
      <alignment horizontal="center" vertical="center"/>
    </xf>
    <xf numFmtId="1" fontId="3" fillId="0" borderId="77" xfId="0" applyNumberFormat="1" applyFont="1" applyBorder="1" applyAlignment="1">
      <alignment horizontal="center" vertical="center"/>
    </xf>
    <xf numFmtId="10" fontId="2" fillId="0" borderId="29" xfId="0" applyNumberFormat="1" applyFont="1" applyBorder="1" applyAlignment="1">
      <alignment horizontal="center" vertical="center" wrapText="1"/>
    </xf>
    <xf numFmtId="10" fontId="3" fillId="0" borderId="29" xfId="0" applyNumberFormat="1" applyFont="1" applyBorder="1" applyAlignment="1">
      <alignment horizontal="center" vertical="center" wrapText="1"/>
    </xf>
    <xf numFmtId="0" fontId="34" fillId="39" borderId="1" xfId="48" applyFont="1" applyFill="1" applyBorder="1" applyAlignment="1">
      <alignment horizontal="center" vertical="center"/>
    </xf>
    <xf numFmtId="43" fontId="34" fillId="45" borderId="78" xfId="0" applyNumberFormat="1" applyFont="1" applyFill="1" applyBorder="1" applyAlignment="1">
      <alignment vertical="center"/>
    </xf>
    <xf numFmtId="167" fontId="0" fillId="0" borderId="2" xfId="3" applyFont="1" applyFill="1" applyBorder="1" applyAlignment="1">
      <alignment vertical="center"/>
    </xf>
    <xf numFmtId="167" fontId="0" fillId="0" borderId="4" xfId="3" applyFont="1" applyFill="1" applyBorder="1" applyAlignment="1">
      <alignment vertical="center"/>
    </xf>
    <xf numFmtId="0" fontId="34" fillId="39" borderId="1" xfId="48" applyFont="1" applyFill="1" applyBorder="1" applyAlignment="1">
      <alignment vertical="center"/>
    </xf>
    <xf numFmtId="1" fontId="1" fillId="39" borderId="4" xfId="48" applyNumberFormat="1" applyFont="1" applyFill="1" applyBorder="1" applyAlignment="1">
      <alignment horizontal="center" vertical="center"/>
    </xf>
    <xf numFmtId="167" fontId="0" fillId="0" borderId="24" xfId="3" applyFont="1" applyFill="1" applyBorder="1" applyAlignment="1">
      <alignment vertical="center"/>
    </xf>
    <xf numFmtId="3" fontId="3" fillId="0" borderId="14" xfId="3" applyNumberFormat="1" applyFont="1" applyFill="1" applyBorder="1" applyAlignment="1" applyProtection="1">
      <alignment horizontal="center" vertical="center"/>
    </xf>
    <xf numFmtId="4" fontId="27" fillId="0" borderId="9" xfId="0" applyNumberFormat="1" applyFont="1" applyBorder="1" applyAlignment="1">
      <alignment horizontal="center" vertical="center"/>
    </xf>
    <xf numFmtId="0" fontId="37" fillId="2" borderId="2" xfId="48" applyFont="1" applyFill="1" applyBorder="1" applyAlignment="1">
      <alignment horizontal="center" vertical="center" wrapText="1"/>
    </xf>
    <xf numFmtId="0" fontId="37" fillId="2" borderId="12" xfId="48" applyFont="1" applyFill="1" applyBorder="1" applyAlignment="1">
      <alignment horizontal="center" vertical="center" wrapText="1"/>
    </xf>
    <xf numFmtId="167" fontId="37" fillId="2" borderId="3" xfId="3" applyFont="1" applyFill="1" applyBorder="1" applyAlignment="1">
      <alignment horizontal="center" vertical="center" wrapText="1"/>
    </xf>
    <xf numFmtId="0" fontId="37" fillId="0" borderId="18" xfId="48" applyFont="1" applyBorder="1" applyAlignment="1">
      <alignment horizontal="center" vertical="center" wrapText="1"/>
    </xf>
    <xf numFmtId="0" fontId="37" fillId="0" borderId="32" xfId="48" applyFont="1" applyBorder="1" applyAlignment="1">
      <alignment horizontal="center" vertical="center" wrapText="1"/>
    </xf>
    <xf numFmtId="167" fontId="0" fillId="0" borderId="76" xfId="3" applyFont="1" applyFill="1" applyBorder="1" applyAlignment="1">
      <alignment vertical="center"/>
    </xf>
    <xf numFmtId="167" fontId="0" fillId="0" borderId="80" xfId="3" applyFont="1" applyFill="1" applyBorder="1" applyAlignment="1">
      <alignment vertical="center"/>
    </xf>
    <xf numFmtId="167" fontId="0" fillId="0" borderId="81" xfId="3" applyFont="1" applyFill="1" applyBorder="1" applyAlignment="1">
      <alignment vertical="center"/>
    </xf>
    <xf numFmtId="167" fontId="38" fillId="46" borderId="54" xfId="3" applyFont="1" applyFill="1" applyBorder="1" applyAlignment="1">
      <alignment vertical="center"/>
    </xf>
    <xf numFmtId="167" fontId="38" fillId="46" borderId="82" xfId="3" applyFont="1" applyFill="1" applyBorder="1" applyAlignment="1">
      <alignment vertical="center"/>
    </xf>
    <xf numFmtId="167" fontId="38" fillId="46" borderId="29" xfId="3" applyFont="1" applyFill="1" applyBorder="1" applyAlignment="1">
      <alignment vertical="center"/>
    </xf>
    <xf numFmtId="167" fontId="38" fillId="46" borderId="83" xfId="3" applyFont="1" applyFill="1" applyBorder="1" applyAlignment="1">
      <alignment vertical="center"/>
    </xf>
    <xf numFmtId="0" fontId="28" fillId="3" borderId="11" xfId="0" applyFont="1" applyFill="1" applyBorder="1" applyAlignment="1">
      <alignment horizontal="center" vertical="center" wrapText="1"/>
    </xf>
    <xf numFmtId="4" fontId="29" fillId="0" borderId="9" xfId="3" applyNumberFormat="1" applyFont="1" applyBorder="1" applyAlignment="1">
      <alignment horizontal="center" vertical="center"/>
    </xf>
    <xf numFmtId="4" fontId="29" fillId="0" borderId="5" xfId="3" applyNumberFormat="1" applyFont="1" applyBorder="1" applyAlignment="1">
      <alignment horizontal="center" vertical="center"/>
    </xf>
    <xf numFmtId="168" fontId="39" fillId="0" borderId="33" xfId="0" applyNumberFormat="1" applyFont="1" applyBorder="1" applyAlignment="1">
      <alignment horizontal="center"/>
    </xf>
    <xf numFmtId="0" fontId="39" fillId="0" borderId="33" xfId="0" applyFont="1" applyBorder="1" applyAlignment="1">
      <alignment horizontal="center"/>
    </xf>
    <xf numFmtId="168" fontId="39" fillId="0" borderId="32" xfId="0" applyNumberFormat="1" applyFont="1" applyBorder="1" applyAlignment="1">
      <alignment horizontal="center"/>
    </xf>
    <xf numFmtId="0" fontId="39" fillId="0" borderId="32" xfId="0" applyFont="1" applyBorder="1" applyAlignment="1">
      <alignment horizontal="center"/>
    </xf>
    <xf numFmtId="43" fontId="31" fillId="0" borderId="11" xfId="2" applyFont="1" applyBorder="1" applyAlignment="1" applyProtection="1">
      <alignment vertical="center"/>
    </xf>
    <xf numFmtId="43" fontId="31" fillId="0" borderId="15" xfId="2" applyFont="1" applyBorder="1" applyAlignment="1" applyProtection="1">
      <alignment vertical="center"/>
    </xf>
    <xf numFmtId="168" fontId="31" fillId="0" borderId="15" xfId="2" applyNumberFormat="1" applyFont="1" applyBorder="1" applyAlignment="1" applyProtection="1">
      <alignment horizontal="center" vertical="center"/>
    </xf>
    <xf numFmtId="43" fontId="31" fillId="0" borderId="15" xfId="2" applyFont="1" applyBorder="1" applyAlignment="1" applyProtection="1">
      <alignment horizontal="center" vertical="center" wrapText="1"/>
    </xf>
    <xf numFmtId="43" fontId="31" fillId="0" borderId="10" xfId="2" applyFont="1" applyBorder="1" applyAlignment="1" applyProtection="1">
      <alignment horizontal="center" vertical="center" wrapText="1"/>
    </xf>
    <xf numFmtId="43" fontId="32" fillId="0" borderId="26" xfId="2" applyFont="1" applyBorder="1" applyAlignment="1" applyProtection="1">
      <alignment vertical="center"/>
    </xf>
    <xf numFmtId="43" fontId="32" fillId="0" borderId="25" xfId="2" applyFont="1" applyBorder="1" applyAlignment="1" applyProtection="1">
      <alignment vertical="center"/>
    </xf>
    <xf numFmtId="168" fontId="32" fillId="0" borderId="25" xfId="2" applyNumberFormat="1" applyFont="1" applyBorder="1" applyAlignment="1" applyProtection="1">
      <alignment horizontal="center" vertical="center"/>
    </xf>
    <xf numFmtId="43" fontId="32" fillId="0" borderId="25" xfId="2" applyFont="1" applyBorder="1" applyAlignment="1" applyProtection="1">
      <alignment vertical="center" wrapText="1"/>
    </xf>
    <xf numFmtId="1" fontId="32" fillId="0" borderId="24" xfId="2" applyNumberFormat="1" applyFont="1" applyBorder="1" applyAlignment="1" applyProtection="1">
      <alignment horizontal="center" vertical="center" wrapText="1"/>
    </xf>
    <xf numFmtId="43" fontId="32" fillId="0" borderId="9" xfId="2" applyFont="1" applyBorder="1" applyAlignment="1" applyProtection="1">
      <alignment vertical="center"/>
    </xf>
    <xf numFmtId="43" fontId="32" fillId="0" borderId="14" xfId="2" applyFont="1" applyBorder="1" applyAlignment="1" applyProtection="1">
      <alignment vertical="center"/>
    </xf>
    <xf numFmtId="168" fontId="32" fillId="0" borderId="14" xfId="2" applyNumberFormat="1" applyFont="1" applyBorder="1" applyAlignment="1" applyProtection="1">
      <alignment horizontal="center" vertical="center"/>
    </xf>
    <xf numFmtId="43" fontId="32" fillId="0" borderId="14" xfId="2" applyFont="1" applyBorder="1" applyAlignment="1" applyProtection="1">
      <alignment vertical="center" wrapText="1"/>
    </xf>
    <xf numFmtId="43" fontId="31" fillId="2" borderId="11" xfId="2" applyFont="1" applyFill="1" applyBorder="1" applyAlignment="1" applyProtection="1">
      <alignment horizontal="center" vertical="center" wrapText="1"/>
    </xf>
    <xf numFmtId="43" fontId="31" fillId="2" borderId="15" xfId="2" applyFont="1" applyFill="1" applyBorder="1" applyAlignment="1" applyProtection="1">
      <alignment horizontal="center" vertical="center" wrapText="1"/>
    </xf>
    <xf numFmtId="43" fontId="31" fillId="2" borderId="10" xfId="2" applyFont="1" applyFill="1" applyBorder="1" applyAlignment="1" applyProtection="1">
      <alignment horizontal="center" vertical="center" wrapText="1"/>
    </xf>
    <xf numFmtId="4" fontId="34" fillId="39" borderId="1" xfId="48" applyNumberFormat="1" applyFont="1" applyFill="1" applyBorder="1" applyAlignment="1">
      <alignment horizontal="center" vertical="center"/>
    </xf>
    <xf numFmtId="167" fontId="0" fillId="0" borderId="0" xfId="0" applyNumberFormat="1"/>
    <xf numFmtId="1" fontId="1" fillId="39" borderId="24" xfId="48" applyNumberFormat="1" applyFont="1" applyFill="1" applyBorder="1" applyAlignment="1">
      <alignment horizontal="center" vertical="center"/>
    </xf>
    <xf numFmtId="0" fontId="34" fillId="39" borderId="25" xfId="48" applyFont="1" applyFill="1" applyBorder="1" applyAlignment="1">
      <alignment vertical="center"/>
    </xf>
    <xf numFmtId="0" fontId="34" fillId="39" borderId="25" xfId="48" applyFont="1" applyFill="1" applyBorder="1" applyAlignment="1">
      <alignment horizontal="center" vertical="center"/>
    </xf>
    <xf numFmtId="4" fontId="34" fillId="39" borderId="25" xfId="48" applyNumberFormat="1" applyFont="1" applyFill="1" applyBorder="1" applyAlignment="1">
      <alignment horizontal="center" vertical="center"/>
    </xf>
    <xf numFmtId="4" fontId="3" fillId="0" borderId="12" xfId="3" applyNumberFormat="1" applyFont="1" applyFill="1" applyBorder="1" applyAlignment="1" applyProtection="1">
      <alignment horizontal="center" vertical="center"/>
    </xf>
    <xf numFmtId="4" fontId="4" fillId="0" borderId="3" xfId="3" applyNumberFormat="1" applyFont="1" applyFill="1" applyBorder="1" applyAlignment="1" applyProtection="1">
      <alignment horizontal="center" vertical="center"/>
    </xf>
    <xf numFmtId="4" fontId="3" fillId="0" borderId="13" xfId="3" applyNumberFormat="1" applyFont="1" applyFill="1" applyBorder="1" applyAlignment="1" applyProtection="1">
      <alignment horizontal="center" vertical="center"/>
    </xf>
    <xf numFmtId="4" fontId="4" fillId="0" borderId="7" xfId="3" applyNumberFormat="1" applyFont="1" applyFill="1" applyBorder="1" applyAlignment="1" applyProtection="1">
      <alignment horizontal="center" vertical="center"/>
    </xf>
    <xf numFmtId="43" fontId="34" fillId="0" borderId="78" xfId="0" applyNumberFormat="1" applyFont="1" applyBorder="1" applyAlignment="1">
      <alignment vertical="center"/>
    </xf>
    <xf numFmtId="43" fontId="34" fillId="39" borderId="78" xfId="0" applyNumberFormat="1" applyFont="1" applyFill="1" applyBorder="1" applyAlignment="1">
      <alignment vertical="center"/>
    </xf>
    <xf numFmtId="43" fontId="34" fillId="39" borderId="86" xfId="0" applyNumberFormat="1" applyFont="1" applyFill="1" applyBorder="1" applyAlignment="1">
      <alignment vertical="center"/>
    </xf>
    <xf numFmtId="43" fontId="34" fillId="0" borderId="86" xfId="0" applyNumberFormat="1" applyFont="1" applyBorder="1" applyAlignment="1">
      <alignment vertical="center"/>
    </xf>
    <xf numFmtId="0" fontId="36" fillId="2" borderId="10" xfId="48" applyFont="1" applyFill="1" applyBorder="1" applyAlignment="1">
      <alignment vertical="center"/>
    </xf>
    <xf numFmtId="0" fontId="36" fillId="2" borderId="15" xfId="48" applyFont="1" applyFill="1" applyBorder="1" applyAlignment="1">
      <alignment vertical="center"/>
    </xf>
    <xf numFmtId="0" fontId="36" fillId="2" borderId="15" xfId="48" applyFont="1" applyFill="1" applyBorder="1" applyAlignment="1">
      <alignment horizontal="center" vertical="center"/>
    </xf>
    <xf numFmtId="167" fontId="36" fillId="2" borderId="11" xfId="3" applyFont="1" applyFill="1" applyBorder="1" applyAlignment="1">
      <alignment vertical="center"/>
    </xf>
    <xf numFmtId="43" fontId="34" fillId="45" borderId="86" xfId="0" applyNumberFormat="1" applyFont="1" applyFill="1" applyBorder="1" applyAlignment="1">
      <alignment vertical="center"/>
    </xf>
    <xf numFmtId="167" fontId="34" fillId="0" borderId="2" xfId="3" applyFont="1" applyFill="1" applyBorder="1" applyAlignment="1">
      <alignment vertical="center"/>
    </xf>
    <xf numFmtId="167" fontId="34" fillId="0" borderId="76" xfId="3" applyFont="1" applyFill="1" applyBorder="1" applyAlignment="1">
      <alignment vertical="center"/>
    </xf>
    <xf numFmtId="167" fontId="34" fillId="0" borderId="4" xfId="3" applyFont="1" applyFill="1" applyBorder="1" applyAlignment="1">
      <alignment vertical="center"/>
    </xf>
    <xf numFmtId="167" fontId="34" fillId="0" borderId="80" xfId="3" applyFont="1" applyFill="1" applyBorder="1" applyAlignment="1">
      <alignment vertical="center"/>
    </xf>
    <xf numFmtId="167" fontId="34" fillId="0" borderId="24" xfId="3" applyFont="1" applyFill="1" applyBorder="1" applyAlignment="1">
      <alignment vertical="center"/>
    </xf>
    <xf numFmtId="167" fontId="34" fillId="0" borderId="81" xfId="3" applyFont="1" applyFill="1" applyBorder="1" applyAlignment="1">
      <alignment vertical="center"/>
    </xf>
    <xf numFmtId="167" fontId="36" fillId="2" borderId="10" xfId="3" applyFont="1" applyFill="1" applyBorder="1" applyAlignment="1">
      <alignment vertical="center"/>
    </xf>
    <xf numFmtId="167" fontId="36" fillId="2" borderId="31" xfId="3" applyFont="1" applyFill="1" applyBorder="1" applyAlignment="1">
      <alignment vertical="center"/>
    </xf>
    <xf numFmtId="0" fontId="41" fillId="2" borderId="31" xfId="0" applyFont="1" applyFill="1" applyBorder="1" applyAlignment="1">
      <alignment horizontal="center"/>
    </xf>
    <xf numFmtId="0" fontId="2" fillId="43" borderId="69" xfId="0" applyFont="1" applyFill="1" applyBorder="1" applyAlignment="1">
      <alignment horizontal="center" vertical="center" wrapText="1"/>
    </xf>
    <xf numFmtId="4" fontId="3" fillId="0" borderId="14" xfId="3" applyNumberFormat="1" applyFont="1" applyFill="1" applyBorder="1" applyAlignment="1" applyProtection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167" fontId="3" fillId="0" borderId="87" xfId="3" applyFont="1" applyFill="1" applyBorder="1" applyAlignment="1" applyProtection="1">
      <alignment horizontal="center" vertical="center"/>
    </xf>
    <xf numFmtId="4" fontId="2" fillId="0" borderId="12" xfId="3" applyNumberFormat="1" applyFont="1" applyFill="1" applyBorder="1" applyAlignment="1" applyProtection="1">
      <alignment horizontal="center" vertical="center"/>
    </xf>
    <xf numFmtId="4" fontId="2" fillId="0" borderId="13" xfId="3" applyNumberFormat="1" applyFont="1" applyFill="1" applyBorder="1" applyAlignment="1" applyProtection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27" fillId="0" borderId="5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27" fillId="0" borderId="7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164" fontId="3" fillId="0" borderId="26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4" fontId="3" fillId="0" borderId="75" xfId="0" applyNumberFormat="1" applyFont="1" applyBorder="1" applyAlignment="1">
      <alignment horizontal="center" vertical="center"/>
    </xf>
    <xf numFmtId="164" fontId="3" fillId="0" borderId="58" xfId="0" applyNumberFormat="1" applyFont="1" applyBorder="1" applyAlignment="1">
      <alignment horizontal="center" vertical="center"/>
    </xf>
    <xf numFmtId="164" fontId="3" fillId="0" borderId="77" xfId="0" applyNumberFormat="1" applyFont="1" applyBorder="1" applyAlignment="1">
      <alignment horizontal="center" vertical="center"/>
    </xf>
    <xf numFmtId="9" fontId="3" fillId="0" borderId="12" xfId="1" applyFont="1" applyFill="1" applyBorder="1" applyAlignment="1">
      <alignment horizontal="center" vertical="center"/>
    </xf>
    <xf numFmtId="9" fontId="3" fillId="0" borderId="1" xfId="1" applyFont="1" applyFill="1" applyBorder="1" applyAlignment="1">
      <alignment horizontal="center" vertical="center"/>
    </xf>
    <xf numFmtId="4" fontId="29" fillId="0" borderId="26" xfId="3" applyNumberFormat="1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4" fontId="29" fillId="37" borderId="25" xfId="3" applyNumberFormat="1" applyFont="1" applyFill="1" applyBorder="1" applyAlignment="1">
      <alignment horizontal="center" vertical="center"/>
    </xf>
    <xf numFmtId="1" fontId="29" fillId="0" borderId="25" xfId="3" applyNumberFormat="1" applyFont="1" applyBorder="1" applyAlignment="1">
      <alignment horizontal="center" vertical="center"/>
    </xf>
    <xf numFmtId="1" fontId="29" fillId="0" borderId="22" xfId="3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9" fontId="3" fillId="0" borderId="0" xfId="0" applyNumberFormat="1" applyFont="1" applyAlignment="1">
      <alignment horizontal="center" vertical="center"/>
    </xf>
    <xf numFmtId="10" fontId="27" fillId="0" borderId="5" xfId="1" applyNumberFormat="1" applyFont="1" applyFill="1" applyBorder="1" applyAlignment="1">
      <alignment horizontal="center" vertical="center"/>
    </xf>
    <xf numFmtId="10" fontId="27" fillId="0" borderId="7" xfId="1" applyNumberFormat="1" applyFont="1" applyFill="1" applyBorder="1" applyAlignment="1">
      <alignment horizontal="center" vertical="center"/>
    </xf>
    <xf numFmtId="166" fontId="2" fillId="0" borderId="3" xfId="2" applyNumberFormat="1" applyFont="1" applyFill="1" applyBorder="1" applyAlignment="1">
      <alignment horizontal="center" vertical="center" wrapText="1"/>
    </xf>
    <xf numFmtId="166" fontId="2" fillId="0" borderId="5" xfId="2" applyNumberFormat="1" applyFont="1" applyFill="1" applyBorder="1" applyAlignment="1">
      <alignment horizontal="center" vertical="center" wrapText="1"/>
    </xf>
    <xf numFmtId="166" fontId="2" fillId="0" borderId="7" xfId="2" applyNumberFormat="1" applyFont="1" applyFill="1" applyBorder="1" applyAlignment="1">
      <alignment horizontal="center" vertical="center" wrapText="1"/>
    </xf>
    <xf numFmtId="164" fontId="2" fillId="47" borderId="11" xfId="0" applyNumberFormat="1" applyFont="1" applyFill="1" applyBorder="1" applyAlignment="1">
      <alignment horizontal="center" vertical="center"/>
    </xf>
    <xf numFmtId="164" fontId="2" fillId="47" borderId="17" xfId="0" applyNumberFormat="1" applyFont="1" applyFill="1" applyBorder="1" applyAlignment="1">
      <alignment horizontal="center" vertical="center"/>
    </xf>
    <xf numFmtId="164" fontId="3" fillId="47" borderId="76" xfId="0" applyNumberFormat="1" applyFont="1" applyFill="1" applyBorder="1" applyAlignment="1">
      <alignment horizontal="center" vertical="center"/>
    </xf>
    <xf numFmtId="164" fontId="3" fillId="47" borderId="33" xfId="0" applyNumberFormat="1" applyFont="1" applyFill="1" applyBorder="1" applyAlignment="1">
      <alignment horizontal="center" vertical="center"/>
    </xf>
    <xf numFmtId="164" fontId="3" fillId="47" borderId="3" xfId="0" applyNumberFormat="1" applyFont="1" applyFill="1" applyBorder="1" applyAlignment="1">
      <alignment horizontal="center" vertical="center"/>
    </xf>
    <xf numFmtId="164" fontId="3" fillId="47" borderId="7" xfId="0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164" fontId="42" fillId="2" borderId="27" xfId="0" applyNumberFormat="1" applyFont="1" applyFill="1" applyBorder="1" applyAlignment="1">
      <alignment horizontal="center" vertical="center"/>
    </xf>
    <xf numFmtId="164" fontId="42" fillId="2" borderId="29" xfId="0" applyNumberFormat="1" applyFont="1" applyFill="1" applyBorder="1" applyAlignment="1">
      <alignment horizontal="center" vertical="center"/>
    </xf>
    <xf numFmtId="0" fontId="40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31" fillId="2" borderId="27" xfId="0" applyFont="1" applyFill="1" applyBorder="1" applyAlignment="1">
      <alignment horizontal="center"/>
    </xf>
    <xf numFmtId="0" fontId="31" fillId="2" borderId="28" xfId="0" applyFont="1" applyFill="1" applyBorder="1" applyAlignment="1">
      <alignment horizontal="center"/>
    </xf>
    <xf numFmtId="0" fontId="31" fillId="2" borderId="29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41" borderId="0" xfId="0" applyFont="1" applyFill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2" fillId="2" borderId="5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 wrapText="1"/>
    </xf>
    <xf numFmtId="0" fontId="2" fillId="43" borderId="27" xfId="0" applyFont="1" applyFill="1" applyBorder="1" applyAlignment="1">
      <alignment horizontal="center" vertical="center"/>
    </xf>
    <xf numFmtId="0" fontId="2" fillId="43" borderId="28" xfId="0" applyFont="1" applyFill="1" applyBorder="1" applyAlignment="1">
      <alignment horizontal="center" vertical="center"/>
    </xf>
    <xf numFmtId="0" fontId="2" fillId="43" borderId="29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43" borderId="61" xfId="0" applyFont="1" applyFill="1" applyBorder="1" applyAlignment="1">
      <alignment horizontal="center" vertical="center" wrapText="1"/>
    </xf>
    <xf numFmtId="0" fontId="2" fillId="43" borderId="62" xfId="0" applyFont="1" applyFill="1" applyBorder="1" applyAlignment="1">
      <alignment horizontal="center" vertical="center" wrapText="1"/>
    </xf>
    <xf numFmtId="0" fontId="2" fillId="43" borderId="66" xfId="0" applyFont="1" applyFill="1" applyBorder="1" applyAlignment="1">
      <alignment horizontal="center" vertical="center" wrapText="1"/>
    </xf>
    <xf numFmtId="0" fontId="4" fillId="2" borderId="53" xfId="0" applyFont="1" applyFill="1" applyBorder="1" applyAlignment="1">
      <alignment horizontal="center" vertical="center" wrapText="1"/>
    </xf>
    <xf numFmtId="0" fontId="4" fillId="2" borderId="54" xfId="0" applyFont="1" applyFill="1" applyBorder="1" applyAlignment="1">
      <alignment horizontal="center" vertical="center" wrapText="1"/>
    </xf>
    <xf numFmtId="0" fontId="30" fillId="41" borderId="0" xfId="0" applyFont="1" applyFill="1" applyAlignment="1">
      <alignment horizont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85" xfId="0" applyFont="1" applyFill="1" applyBorder="1" applyAlignment="1">
      <alignment horizontal="center" vertical="center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57" xfId="0" applyFont="1" applyFill="1" applyBorder="1" applyAlignment="1">
      <alignment horizontal="center" vertical="center"/>
    </xf>
    <xf numFmtId="0" fontId="24" fillId="0" borderId="28" xfId="0" applyFont="1" applyBorder="1" applyAlignment="1">
      <alignment horizontal="left" vertical="center" wrapText="1"/>
    </xf>
    <xf numFmtId="0" fontId="2" fillId="43" borderId="61" xfId="0" applyFont="1" applyFill="1" applyBorder="1" applyAlignment="1">
      <alignment horizontal="center" vertical="center"/>
    </xf>
    <xf numFmtId="0" fontId="2" fillId="43" borderId="62" xfId="0" applyFont="1" applyFill="1" applyBorder="1" applyAlignment="1">
      <alignment horizontal="center" vertical="center"/>
    </xf>
    <xf numFmtId="0" fontId="2" fillId="43" borderId="6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8" fillId="3" borderId="2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" fillId="39" borderId="0" xfId="0" applyFont="1" applyFill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39" borderId="0" xfId="0" applyFont="1" applyFill="1" applyAlignment="1">
      <alignment horizontal="center" vertical="center" wrapText="1"/>
    </xf>
    <xf numFmtId="0" fontId="33" fillId="0" borderId="27" xfId="0" applyFont="1" applyBorder="1" applyAlignment="1">
      <alignment horizontal="left" vertical="justify"/>
    </xf>
    <xf numFmtId="0" fontId="33" fillId="0" borderId="28" xfId="0" applyFont="1" applyBorder="1" applyAlignment="1">
      <alignment horizontal="left" vertical="justify"/>
    </xf>
    <xf numFmtId="0" fontId="33" fillId="0" borderId="29" xfId="0" applyFont="1" applyBorder="1" applyAlignment="1">
      <alignment horizontal="left" vertical="justify"/>
    </xf>
    <xf numFmtId="0" fontId="2" fillId="0" borderId="51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35" fillId="0" borderId="66" xfId="0" applyFont="1" applyBorder="1"/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33" fillId="42" borderId="27" xfId="0" applyFont="1" applyFill="1" applyBorder="1" applyAlignment="1">
      <alignment horizontal="center" vertical="justify"/>
    </xf>
    <xf numFmtId="0" fontId="33" fillId="42" borderId="28" xfId="0" applyFont="1" applyFill="1" applyBorder="1" applyAlignment="1">
      <alignment horizontal="center" vertical="justify"/>
    </xf>
    <xf numFmtId="0" fontId="33" fillId="42" borderId="29" xfId="0" applyFont="1" applyFill="1" applyBorder="1" applyAlignment="1">
      <alignment horizontal="center" vertical="justify"/>
    </xf>
    <xf numFmtId="0" fontId="36" fillId="2" borderId="39" xfId="48" applyFont="1" applyFill="1" applyBorder="1" applyAlignment="1">
      <alignment horizontal="center" vertical="center"/>
    </xf>
    <xf numFmtId="0" fontId="36" fillId="2" borderId="37" xfId="48" applyFont="1" applyFill="1" applyBorder="1" applyAlignment="1">
      <alignment horizontal="center" vertical="center"/>
    </xf>
    <xf numFmtId="0" fontId="36" fillId="2" borderId="74" xfId="48" applyFont="1" applyFill="1" applyBorder="1" applyAlignment="1">
      <alignment horizontal="center" vertical="center"/>
    </xf>
    <xf numFmtId="0" fontId="36" fillId="2" borderId="79" xfId="48" applyFont="1" applyFill="1" applyBorder="1" applyAlignment="1">
      <alignment horizontal="center" vertical="center"/>
    </xf>
    <xf numFmtId="0" fontId="36" fillId="44" borderId="27" xfId="48" applyFont="1" applyFill="1" applyBorder="1" applyAlignment="1">
      <alignment horizontal="center" vertical="center"/>
    </xf>
    <xf numFmtId="0" fontId="36" fillId="44" borderId="28" xfId="48" applyFont="1" applyFill="1" applyBorder="1" applyAlignment="1">
      <alignment horizontal="center" vertical="center"/>
    </xf>
    <xf numFmtId="0" fontId="36" fillId="44" borderId="29" xfId="48" applyFont="1" applyFill="1" applyBorder="1" applyAlignment="1">
      <alignment horizontal="center" vertical="center"/>
    </xf>
    <xf numFmtId="0" fontId="36" fillId="2" borderId="6" xfId="48" applyFont="1" applyFill="1" applyBorder="1" applyAlignment="1">
      <alignment horizontal="center" vertical="center"/>
    </xf>
    <xf numFmtId="0" fontId="36" fillId="2" borderId="13" xfId="48" applyFont="1" applyFill="1" applyBorder="1" applyAlignment="1">
      <alignment horizontal="center" vertical="center"/>
    </xf>
    <xf numFmtId="0" fontId="36" fillId="2" borderId="2" xfId="48" applyFont="1" applyFill="1" applyBorder="1" applyAlignment="1">
      <alignment horizontal="center" vertical="center"/>
    </xf>
    <xf numFmtId="0" fontId="36" fillId="2" borderId="12" xfId="48" applyFont="1" applyFill="1" applyBorder="1" applyAlignment="1">
      <alignment horizontal="center" vertical="center"/>
    </xf>
    <xf numFmtId="0" fontId="36" fillId="2" borderId="53" xfId="48" applyFont="1" applyFill="1" applyBorder="1" applyAlignment="1">
      <alignment horizontal="center" vertical="center"/>
    </xf>
    <xf numFmtId="0" fontId="36" fillId="2" borderId="84" xfId="48" applyFont="1" applyFill="1" applyBorder="1" applyAlignment="1">
      <alignment horizontal="center" vertical="center"/>
    </xf>
  </cellXfs>
  <cellStyles count="54">
    <cellStyle name="20% - Ênfase1" xfId="24" builtinId="30" customBuiltin="1"/>
    <cellStyle name="20% - Ênfase2" xfId="28" builtinId="34" customBuiltin="1"/>
    <cellStyle name="20% - Ênfase3" xfId="32" builtinId="38" customBuiltin="1"/>
    <cellStyle name="20% - Ênfase4" xfId="36" builtinId="42" customBuiltin="1"/>
    <cellStyle name="20% - Ênfase5" xfId="40" builtinId="46" customBuiltin="1"/>
    <cellStyle name="20% - Ênfase6" xfId="44" builtinId="50" customBuiltin="1"/>
    <cellStyle name="40% - Ênfase1" xfId="25" builtinId="31" customBuiltin="1"/>
    <cellStyle name="40% - Ênfase2" xfId="29" builtinId="35" customBuiltin="1"/>
    <cellStyle name="40% - Ênfase3" xfId="33" builtinId="39" customBuiltin="1"/>
    <cellStyle name="40% - Ênfase4" xfId="37" builtinId="43" customBuiltin="1"/>
    <cellStyle name="40% - Ênfase5" xfId="41" builtinId="47" customBuiltin="1"/>
    <cellStyle name="40% - Ênfase6" xfId="45" builtinId="51" customBuiltin="1"/>
    <cellStyle name="60% - Ênfase1" xfId="26" builtinId="32" customBuiltin="1"/>
    <cellStyle name="60% - Ênfase2" xfId="30" builtinId="36" customBuiltin="1"/>
    <cellStyle name="60% - Ênfase3" xfId="34" builtinId="40" customBuiltin="1"/>
    <cellStyle name="60% - Ênfase4" xfId="38" builtinId="44" customBuiltin="1"/>
    <cellStyle name="60% - Ênfase5" xfId="42" builtinId="48" customBuiltin="1"/>
    <cellStyle name="60% - Ênfase6" xfId="46" builtinId="52" customBuiltin="1"/>
    <cellStyle name="Bom" xfId="11" builtinId="26" customBuiltin="1"/>
    <cellStyle name="Cálculo" xfId="16" builtinId="22" customBuiltin="1"/>
    <cellStyle name="Célula de Verificação" xfId="18" builtinId="23" customBuiltin="1"/>
    <cellStyle name="Célula Vinculada" xfId="17" builtinId="24" customBuiltin="1"/>
    <cellStyle name="Ênfase1" xfId="23" builtinId="29" customBuiltin="1"/>
    <cellStyle name="Ênfase2" xfId="27" builtinId="33" customBuiltin="1"/>
    <cellStyle name="Ênfase3" xfId="31" builtinId="37" customBuiltin="1"/>
    <cellStyle name="Ênfase4" xfId="35" builtinId="41" customBuiltin="1"/>
    <cellStyle name="Ênfase5" xfId="39" builtinId="45" customBuiltin="1"/>
    <cellStyle name="Ênfase6" xfId="43" builtinId="49" customBuiltin="1"/>
    <cellStyle name="Entrada" xfId="14" builtinId="20" customBuiltin="1"/>
    <cellStyle name="Neutro" xfId="13" builtinId="28" customBuiltin="1"/>
    <cellStyle name="Normal" xfId="0" builtinId="0"/>
    <cellStyle name="Normal 2" xfId="48" xr:uid="{00000000-0005-0000-0000-000020000000}"/>
    <cellStyle name="Normal 3" xfId="53" xr:uid="{00000000-0005-0000-0000-000021000000}"/>
    <cellStyle name="Nota" xfId="20" builtinId="10" customBuiltin="1"/>
    <cellStyle name="Porcentagem" xfId="1" builtinId="5"/>
    <cellStyle name="Ruim" xfId="12" builtinId="27" customBuiltin="1"/>
    <cellStyle name="Saída" xfId="15" builtinId="21" customBuiltin="1"/>
    <cellStyle name="Texto de Aviso" xfId="19" builtinId="11" customBuiltin="1"/>
    <cellStyle name="Texto Explicativo" xfId="21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ítulo 4" xfId="10" builtinId="19" customBuiltin="1"/>
    <cellStyle name="Total" xfId="22" builtinId="25" customBuiltin="1"/>
    <cellStyle name="Vírgula" xfId="2" builtinId="3"/>
    <cellStyle name="Vírgula 2" xfId="3" xr:uid="{00000000-0005-0000-0000-00002E000000}"/>
    <cellStyle name="Vírgula 3" xfId="5" xr:uid="{00000000-0005-0000-0000-00002F000000}"/>
    <cellStyle name="Vírgula 3 2" xfId="51" xr:uid="{00000000-0005-0000-0000-000030000000}"/>
    <cellStyle name="Vírgula 4" xfId="4" xr:uid="{00000000-0005-0000-0000-000031000000}"/>
    <cellStyle name="Vírgula 4 2" xfId="50" xr:uid="{00000000-0005-0000-0000-000032000000}"/>
    <cellStyle name="Vírgula 5" xfId="47" xr:uid="{00000000-0005-0000-0000-000033000000}"/>
    <cellStyle name="Vírgula 5 2" xfId="52" xr:uid="{00000000-0005-0000-0000-000034000000}"/>
    <cellStyle name="Vírgula 6" xfId="49" xr:uid="{00000000-0005-0000-0000-00003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H24"/>
  <sheetViews>
    <sheetView tabSelected="1" topLeftCell="A14" workbookViewId="0">
      <selection activeCell="C31" sqref="C30:C31"/>
    </sheetView>
  </sheetViews>
  <sheetFormatPr defaultRowHeight="14.4" x14ac:dyDescent="0.3"/>
  <cols>
    <col min="1" max="1" width="8.109375" customWidth="1"/>
    <col min="2" max="2" width="72.88671875" customWidth="1"/>
    <col min="3" max="3" width="16.5546875" customWidth="1"/>
    <col min="4" max="4" width="17.33203125" customWidth="1"/>
    <col min="5" max="5" width="14.88671875" customWidth="1"/>
    <col min="6" max="6" width="14.33203125" customWidth="1"/>
    <col min="7" max="7" width="16.33203125" customWidth="1"/>
    <col min="8" max="8" width="16.6640625" customWidth="1"/>
  </cols>
  <sheetData>
    <row r="1" spans="1:8" ht="15" customHeight="1" x14ac:dyDescent="0.3">
      <c r="A1" s="366" t="s">
        <v>321</v>
      </c>
      <c r="B1" s="366"/>
      <c r="C1" s="366"/>
      <c r="D1" s="366"/>
      <c r="E1" s="366"/>
      <c r="F1" s="366"/>
      <c r="G1" s="366"/>
      <c r="H1" s="366"/>
    </row>
    <row r="2" spans="1:8" ht="15.6" x14ac:dyDescent="0.3">
      <c r="A2" s="367"/>
      <c r="B2" s="367"/>
    </row>
    <row r="3" spans="1:8" ht="15" thickBot="1" x14ac:dyDescent="0.35">
      <c r="C3" s="148"/>
    </row>
    <row r="4" spans="1:8" ht="16.2" thickBot="1" x14ac:dyDescent="0.35">
      <c r="A4" s="368" t="s">
        <v>323</v>
      </c>
      <c r="B4" s="369"/>
      <c r="C4" s="369"/>
      <c r="D4" s="369"/>
      <c r="E4" s="369"/>
      <c r="F4" s="369"/>
      <c r="G4" s="369"/>
      <c r="H4" s="370"/>
    </row>
    <row r="5" spans="1:8" ht="31.8" thickBot="1" x14ac:dyDescent="0.35">
      <c r="A5" s="294" t="s">
        <v>144</v>
      </c>
      <c r="B5" s="293" t="s">
        <v>229</v>
      </c>
      <c r="C5" s="293" t="s">
        <v>320</v>
      </c>
      <c r="D5" s="293" t="s">
        <v>319</v>
      </c>
      <c r="E5" s="293" t="s">
        <v>318</v>
      </c>
      <c r="F5" s="293" t="s">
        <v>317</v>
      </c>
      <c r="G5" s="293" t="s">
        <v>316</v>
      </c>
      <c r="H5" s="292" t="s">
        <v>315</v>
      </c>
    </row>
    <row r="6" spans="1:8" ht="31.2" x14ac:dyDescent="0.3">
      <c r="A6" s="287">
        <v>1</v>
      </c>
      <c r="B6" s="291" t="s">
        <v>346</v>
      </c>
      <c r="C6" s="290">
        <v>10</v>
      </c>
      <c r="D6" s="290">
        <f>C6*2</f>
        <v>20</v>
      </c>
      <c r="E6" s="289">
        <f>'Custo por trabalhador'!B636</f>
        <v>6526.36</v>
      </c>
      <c r="F6" s="289">
        <f>'Custo por trabalhador'!B637</f>
        <v>13052.72</v>
      </c>
      <c r="G6" s="289">
        <f>F6*C6</f>
        <v>130527.2</v>
      </c>
      <c r="H6" s="288">
        <f>G6*12</f>
        <v>1566326.4</v>
      </c>
    </row>
    <row r="7" spans="1:8" ht="31.2" x14ac:dyDescent="0.3">
      <c r="A7" s="287">
        <v>2</v>
      </c>
      <c r="B7" s="286" t="s">
        <v>347</v>
      </c>
      <c r="C7" s="285">
        <v>11</v>
      </c>
      <c r="D7" s="285">
        <f>C7*2</f>
        <v>22</v>
      </c>
      <c r="E7" s="284">
        <f>'Custo por trabalhador'!C636</f>
        <v>7390.67</v>
      </c>
      <c r="F7" s="284">
        <f>'Custo por trabalhador'!C637</f>
        <v>14781.34</v>
      </c>
      <c r="G7" s="284">
        <f>F7*C7</f>
        <v>162594.74</v>
      </c>
      <c r="H7" s="283">
        <f>G7*12</f>
        <v>1951136.88</v>
      </c>
    </row>
    <row r="8" spans="1:8" ht="31.2" x14ac:dyDescent="0.3">
      <c r="A8" s="287">
        <v>3</v>
      </c>
      <c r="B8" s="286" t="s">
        <v>348</v>
      </c>
      <c r="C8" s="285">
        <v>3</v>
      </c>
      <c r="D8" s="285">
        <f>C8*2</f>
        <v>6</v>
      </c>
      <c r="E8" s="284">
        <f>'Custo por trabalhador'!D636</f>
        <v>8574.15</v>
      </c>
      <c r="F8" s="284">
        <f>'Custo por trabalhador'!D637</f>
        <v>17148.3</v>
      </c>
      <c r="G8" s="284">
        <f>F8*C8</f>
        <v>51444.899999999994</v>
      </c>
      <c r="H8" s="283">
        <f>G8*12</f>
        <v>617338.79999999993</v>
      </c>
    </row>
    <row r="9" spans="1:8" ht="31.8" thickBot="1" x14ac:dyDescent="0.35">
      <c r="A9" s="287">
        <v>4</v>
      </c>
      <c r="B9" s="286" t="s">
        <v>349</v>
      </c>
      <c r="C9" s="285">
        <v>3</v>
      </c>
      <c r="D9" s="285">
        <f>C9*2</f>
        <v>6</v>
      </c>
      <c r="E9" s="284">
        <f>'Custo por trabalhador'!E636</f>
        <v>9382.42</v>
      </c>
      <c r="F9" s="284">
        <f>'Custo por trabalhador'!E637</f>
        <v>18764.84</v>
      </c>
      <c r="G9" s="284">
        <f>F9*C9</f>
        <v>56294.520000000004</v>
      </c>
      <c r="H9" s="283">
        <f>G9*12</f>
        <v>675534.24</v>
      </c>
    </row>
    <row r="10" spans="1:8" ht="16.2" thickBot="1" x14ac:dyDescent="0.35">
      <c r="A10" s="282"/>
      <c r="B10" s="281" t="s">
        <v>28</v>
      </c>
      <c r="C10" s="280">
        <f t="shared" ref="C10:H10" si="0">SUM(C6:C9)</f>
        <v>27</v>
      </c>
      <c r="D10" s="280">
        <f t="shared" si="0"/>
        <v>54</v>
      </c>
      <c r="E10" s="279">
        <f t="shared" si="0"/>
        <v>31873.599999999999</v>
      </c>
      <c r="F10" s="279">
        <f t="shared" si="0"/>
        <v>63747.199999999997</v>
      </c>
      <c r="G10" s="279">
        <f t="shared" si="0"/>
        <v>400861.36</v>
      </c>
      <c r="H10" s="278">
        <f t="shared" si="0"/>
        <v>4810336.3199999994</v>
      </c>
    </row>
    <row r="12" spans="1:8" ht="15" thickBot="1" x14ac:dyDescent="0.35"/>
    <row r="13" spans="1:8" ht="16.2" thickBot="1" x14ac:dyDescent="0.35">
      <c r="A13" s="368" t="s">
        <v>322</v>
      </c>
      <c r="B13" s="369"/>
      <c r="C13" s="369"/>
      <c r="D13" s="369"/>
      <c r="E13" s="369"/>
      <c r="F13" s="369"/>
      <c r="G13" s="369"/>
      <c r="H13" s="370"/>
    </row>
    <row r="14" spans="1:8" ht="31.8" thickBot="1" x14ac:dyDescent="0.35">
      <c r="A14" s="294" t="s">
        <v>144</v>
      </c>
      <c r="B14" s="293" t="s">
        <v>229</v>
      </c>
      <c r="C14" s="293" t="s">
        <v>320</v>
      </c>
      <c r="D14" s="293" t="s">
        <v>319</v>
      </c>
      <c r="E14" s="293" t="s">
        <v>318</v>
      </c>
      <c r="F14" s="293" t="s">
        <v>317</v>
      </c>
      <c r="G14" s="293" t="s">
        <v>316</v>
      </c>
      <c r="H14" s="292" t="s">
        <v>315</v>
      </c>
    </row>
    <row r="15" spans="1:8" ht="31.2" x14ac:dyDescent="0.3">
      <c r="A15" s="287">
        <v>5</v>
      </c>
      <c r="B15" s="286" t="s">
        <v>348</v>
      </c>
      <c r="C15" s="285">
        <v>1</v>
      </c>
      <c r="D15" s="285">
        <f>C15*2</f>
        <v>2</v>
      </c>
      <c r="E15" s="284">
        <f>'Custo por trabalhador'!F636</f>
        <v>7013.34</v>
      </c>
      <c r="F15" s="284">
        <f>'Custo por trabalhador'!F637</f>
        <v>14026.68</v>
      </c>
      <c r="G15" s="284">
        <f>F15*C15</f>
        <v>14026.68</v>
      </c>
      <c r="H15" s="283">
        <f>G15*12</f>
        <v>168320.16</v>
      </c>
    </row>
    <row r="16" spans="1:8" ht="31.8" thickBot="1" x14ac:dyDescent="0.35">
      <c r="A16" s="287">
        <v>6</v>
      </c>
      <c r="B16" s="286" t="s">
        <v>349</v>
      </c>
      <c r="C16" s="285">
        <v>1</v>
      </c>
      <c r="D16" s="285">
        <f>C16*2</f>
        <v>2</v>
      </c>
      <c r="E16" s="284">
        <f>'Custo por trabalhador'!G636</f>
        <v>7822.21</v>
      </c>
      <c r="F16" s="284">
        <f>'Custo por trabalhador'!G637</f>
        <v>15644.42</v>
      </c>
      <c r="G16" s="284">
        <f>F16*C16</f>
        <v>15644.42</v>
      </c>
      <c r="H16" s="283">
        <f>G16*12</f>
        <v>187733.04</v>
      </c>
    </row>
    <row r="17" spans="1:8" ht="16.2" thickBot="1" x14ac:dyDescent="0.35">
      <c r="A17" s="282"/>
      <c r="B17" s="281" t="s">
        <v>28</v>
      </c>
      <c r="C17" s="280">
        <f t="shared" ref="C17:H17" si="1">SUM(C13:C16)</f>
        <v>2</v>
      </c>
      <c r="D17" s="280">
        <f t="shared" si="1"/>
        <v>4</v>
      </c>
      <c r="E17" s="279">
        <f t="shared" si="1"/>
        <v>14835.55</v>
      </c>
      <c r="F17" s="279">
        <f t="shared" si="1"/>
        <v>29671.1</v>
      </c>
      <c r="G17" s="279">
        <f t="shared" si="1"/>
        <v>29671.1</v>
      </c>
      <c r="H17" s="278">
        <f t="shared" si="1"/>
        <v>356053.2</v>
      </c>
    </row>
    <row r="19" spans="1:8" ht="15" thickBot="1" x14ac:dyDescent="0.35"/>
    <row r="20" spans="1:8" ht="15.6" x14ac:dyDescent="0.3">
      <c r="B20" s="277" t="s">
        <v>314</v>
      </c>
      <c r="C20" s="276">
        <f>C10+C17</f>
        <v>29</v>
      </c>
    </row>
    <row r="21" spans="1:8" ht="16.2" thickBot="1" x14ac:dyDescent="0.35">
      <c r="B21" s="275" t="s">
        <v>313</v>
      </c>
      <c r="C21" s="274">
        <f>D10+D17</f>
        <v>58</v>
      </c>
    </row>
    <row r="22" spans="1:8" ht="15" thickBot="1" x14ac:dyDescent="0.35"/>
    <row r="23" spans="1:8" ht="18.600000000000001" thickBot="1" x14ac:dyDescent="0.4">
      <c r="B23" s="322" t="s">
        <v>333</v>
      </c>
      <c r="C23" s="364">
        <f>G10+G17</f>
        <v>430532.45999999996</v>
      </c>
      <c r="D23" s="365"/>
    </row>
    <row r="24" spans="1:8" ht="18.600000000000001" thickBot="1" x14ac:dyDescent="0.4">
      <c r="B24" s="322" t="s">
        <v>334</v>
      </c>
      <c r="C24" s="364">
        <f>H10+H17</f>
        <v>5166389.5199999996</v>
      </c>
      <c r="D24" s="365"/>
    </row>
  </sheetData>
  <mergeCells count="6">
    <mergeCell ref="C24:D24"/>
    <mergeCell ref="A1:H1"/>
    <mergeCell ref="A2:B2"/>
    <mergeCell ref="A4:H4"/>
    <mergeCell ref="A13:H13"/>
    <mergeCell ref="C23:D2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7"/>
  <sheetViews>
    <sheetView topLeftCell="A7" workbookViewId="0">
      <selection activeCell="E23" sqref="E23"/>
    </sheetView>
  </sheetViews>
  <sheetFormatPr defaultRowHeight="14.4" x14ac:dyDescent="0.3"/>
  <cols>
    <col min="1" max="1" width="10.6640625" customWidth="1"/>
    <col min="2" max="2" width="35.44140625" customWidth="1"/>
    <col min="3" max="3" width="18.33203125" customWidth="1"/>
    <col min="4" max="4" width="18.109375" customWidth="1"/>
    <col min="5" max="5" width="14.33203125" customWidth="1"/>
    <col min="6" max="6" width="16.33203125" customWidth="1"/>
    <col min="7" max="7" width="15.44140625" customWidth="1"/>
    <col min="9" max="9" width="10.109375" bestFit="1" customWidth="1"/>
  </cols>
  <sheetData>
    <row r="1" spans="1:7" x14ac:dyDescent="0.3">
      <c r="A1" t="s">
        <v>109</v>
      </c>
    </row>
    <row r="2" spans="1:7" ht="15" thickBot="1" x14ac:dyDescent="0.35"/>
    <row r="3" spans="1:7" ht="15" thickBot="1" x14ac:dyDescent="0.35">
      <c r="A3" s="445" t="s">
        <v>331</v>
      </c>
      <c r="B3" s="446"/>
      <c r="C3" s="446"/>
      <c r="D3" s="446"/>
      <c r="E3" s="446"/>
      <c r="F3" s="446"/>
      <c r="G3" s="447"/>
    </row>
    <row r="4" spans="1:7" ht="28.2" thickBot="1" x14ac:dyDescent="0.35">
      <c r="A4" s="259" t="s">
        <v>144</v>
      </c>
      <c r="B4" s="260" t="s">
        <v>267</v>
      </c>
      <c r="C4" s="260" t="s">
        <v>268</v>
      </c>
      <c r="D4" s="260" t="s">
        <v>269</v>
      </c>
      <c r="E4" s="261" t="s">
        <v>270</v>
      </c>
      <c r="F4" s="262" t="s">
        <v>271</v>
      </c>
      <c r="G4" s="263" t="s">
        <v>283</v>
      </c>
    </row>
    <row r="5" spans="1:7" x14ac:dyDescent="0.3">
      <c r="A5" s="255">
        <v>1</v>
      </c>
      <c r="B5" s="254" t="s">
        <v>285</v>
      </c>
      <c r="C5" s="250" t="s">
        <v>272</v>
      </c>
      <c r="D5" s="250">
        <v>1</v>
      </c>
      <c r="E5" s="251">
        <v>107.76</v>
      </c>
      <c r="F5" s="314">
        <f>D5*E5</f>
        <v>107.76</v>
      </c>
      <c r="G5" s="315">
        <f>F5/12</f>
        <v>8.98</v>
      </c>
    </row>
    <row r="6" spans="1:7" x14ac:dyDescent="0.3">
      <c r="A6" s="255">
        <f t="shared" ref="A6:A14" si="0">A5+1</f>
        <v>2</v>
      </c>
      <c r="B6" s="254" t="s">
        <v>286</v>
      </c>
      <c r="C6" s="250" t="s">
        <v>272</v>
      </c>
      <c r="D6" s="250">
        <v>2</v>
      </c>
      <c r="E6" s="251">
        <v>34.380000000000003</v>
      </c>
      <c r="F6" s="316">
        <f>D6*E6</f>
        <v>68.760000000000005</v>
      </c>
      <c r="G6" s="317">
        <f>F6/12</f>
        <v>5.73</v>
      </c>
    </row>
    <row r="7" spans="1:7" x14ac:dyDescent="0.3">
      <c r="A7" s="255">
        <f t="shared" si="0"/>
        <v>3</v>
      </c>
      <c r="B7" s="254" t="s">
        <v>287</v>
      </c>
      <c r="C7" s="250" t="s">
        <v>272</v>
      </c>
      <c r="D7" s="250">
        <v>1</v>
      </c>
      <c r="E7" s="251">
        <v>42.63</v>
      </c>
      <c r="F7" s="316">
        <f t="shared" ref="F7:F14" si="1">D7*E7</f>
        <v>42.63</v>
      </c>
      <c r="G7" s="317">
        <f t="shared" ref="G7:G14" si="2">F7/12</f>
        <v>3.5525000000000002</v>
      </c>
    </row>
    <row r="8" spans="1:7" x14ac:dyDescent="0.3">
      <c r="A8" s="255">
        <f t="shared" si="0"/>
        <v>4</v>
      </c>
      <c r="B8" s="254" t="s">
        <v>288</v>
      </c>
      <c r="C8" s="250" t="s">
        <v>272</v>
      </c>
      <c r="D8" s="250">
        <v>1</v>
      </c>
      <c r="E8" s="251">
        <v>26.61</v>
      </c>
      <c r="F8" s="316">
        <f t="shared" si="1"/>
        <v>26.61</v>
      </c>
      <c r="G8" s="317">
        <f t="shared" si="2"/>
        <v>2.2174999999999998</v>
      </c>
    </row>
    <row r="9" spans="1:7" x14ac:dyDescent="0.3">
      <c r="A9" s="255">
        <f t="shared" si="0"/>
        <v>5</v>
      </c>
      <c r="B9" s="254" t="s">
        <v>289</v>
      </c>
      <c r="C9" s="250" t="s">
        <v>272</v>
      </c>
      <c r="D9" s="250">
        <v>4</v>
      </c>
      <c r="E9" s="251">
        <v>9.6300000000000008</v>
      </c>
      <c r="F9" s="316">
        <f t="shared" si="1"/>
        <v>38.520000000000003</v>
      </c>
      <c r="G9" s="317">
        <f t="shared" si="2"/>
        <v>3.2100000000000004</v>
      </c>
    </row>
    <row r="10" spans="1:7" x14ac:dyDescent="0.3">
      <c r="A10" s="255">
        <f t="shared" si="0"/>
        <v>6</v>
      </c>
      <c r="B10" s="254" t="s">
        <v>290</v>
      </c>
      <c r="C10" s="250" t="s">
        <v>272</v>
      </c>
      <c r="D10" s="250">
        <v>1</v>
      </c>
      <c r="E10" s="251">
        <v>73.86</v>
      </c>
      <c r="F10" s="316">
        <f t="shared" si="1"/>
        <v>73.86</v>
      </c>
      <c r="G10" s="317">
        <f t="shared" si="2"/>
        <v>6.1550000000000002</v>
      </c>
    </row>
    <row r="11" spans="1:7" x14ac:dyDescent="0.3">
      <c r="A11" s="255">
        <f t="shared" si="0"/>
        <v>7</v>
      </c>
      <c r="B11" s="254" t="s">
        <v>291</v>
      </c>
      <c r="C11" s="250" t="s">
        <v>272</v>
      </c>
      <c r="D11" s="250">
        <v>12</v>
      </c>
      <c r="E11" s="251">
        <v>8.91</v>
      </c>
      <c r="F11" s="316">
        <f t="shared" si="1"/>
        <v>106.92</v>
      </c>
      <c r="G11" s="317">
        <f t="shared" si="2"/>
        <v>8.91</v>
      </c>
    </row>
    <row r="12" spans="1:7" x14ac:dyDescent="0.3">
      <c r="A12" s="255">
        <f t="shared" si="0"/>
        <v>8</v>
      </c>
      <c r="B12" s="254" t="s">
        <v>294</v>
      </c>
      <c r="C12" s="250" t="s">
        <v>272</v>
      </c>
      <c r="D12" s="250">
        <v>1</v>
      </c>
      <c r="E12" s="251">
        <v>684.98</v>
      </c>
      <c r="F12" s="316">
        <f t="shared" ref="F12" si="3">D12*E12</f>
        <v>684.98</v>
      </c>
      <c r="G12" s="317">
        <f t="shared" si="2"/>
        <v>57.081666666666671</v>
      </c>
    </row>
    <row r="13" spans="1:7" x14ac:dyDescent="0.3">
      <c r="A13" s="255">
        <f t="shared" si="0"/>
        <v>9</v>
      </c>
      <c r="B13" s="254" t="s">
        <v>295</v>
      </c>
      <c r="C13" s="250" t="s">
        <v>272</v>
      </c>
      <c r="D13" s="250">
        <v>1</v>
      </c>
      <c r="E13" s="251">
        <v>6.12</v>
      </c>
      <c r="F13" s="316">
        <f t="shared" ref="F13" si="4">D13*E13</f>
        <v>6.12</v>
      </c>
      <c r="G13" s="317">
        <f t="shared" si="2"/>
        <v>0.51</v>
      </c>
    </row>
    <row r="14" spans="1:7" ht="15" thickBot="1" x14ac:dyDescent="0.35">
      <c r="A14" s="297">
        <f t="shared" si="0"/>
        <v>10</v>
      </c>
      <c r="B14" s="298" t="s">
        <v>296</v>
      </c>
      <c r="C14" s="299" t="s">
        <v>272</v>
      </c>
      <c r="D14" s="299">
        <v>1</v>
      </c>
      <c r="E14" s="313">
        <v>1.51</v>
      </c>
      <c r="F14" s="318">
        <f t="shared" si="1"/>
        <v>1.51</v>
      </c>
      <c r="G14" s="319">
        <f t="shared" si="2"/>
        <v>0.12583333333333332</v>
      </c>
    </row>
    <row r="15" spans="1:7" ht="15" thickBot="1" x14ac:dyDescent="0.35">
      <c r="A15" s="309"/>
      <c r="B15" s="310" t="s">
        <v>12</v>
      </c>
      <c r="C15" s="311"/>
      <c r="D15" s="310"/>
      <c r="E15" s="312">
        <f>SUM(E5:E14)</f>
        <v>996.39</v>
      </c>
      <c r="F15" s="320">
        <f>SUM(F5:F14)</f>
        <v>1157.6699999999998</v>
      </c>
      <c r="G15" s="321">
        <f>SUM(G5:G14)</f>
        <v>96.472500000000011</v>
      </c>
    </row>
    <row r="16" spans="1:7" ht="16.2" thickBot="1" x14ac:dyDescent="0.35">
      <c r="A16" s="450" t="s">
        <v>309</v>
      </c>
      <c r="B16" s="451"/>
      <c r="C16" s="451"/>
      <c r="D16" s="451"/>
      <c r="E16" s="451"/>
      <c r="F16" s="451"/>
      <c r="G16" s="267">
        <f>F15/2</f>
        <v>578.83499999999992</v>
      </c>
    </row>
    <row r="17" spans="1:9" ht="16.2" thickBot="1" x14ac:dyDescent="0.35">
      <c r="A17" s="448" t="s">
        <v>310</v>
      </c>
      <c r="B17" s="449"/>
      <c r="C17" s="449"/>
      <c r="D17" s="449"/>
      <c r="E17" s="449"/>
      <c r="F17" s="449"/>
      <c r="G17" s="269">
        <f>G16/12</f>
        <v>48.236249999999991</v>
      </c>
      <c r="I17" s="296"/>
    </row>
    <row r="18" spans="1:9" ht="15" thickBot="1" x14ac:dyDescent="0.35"/>
    <row r="19" spans="1:9" ht="15" thickBot="1" x14ac:dyDescent="0.35">
      <c r="A19" s="445" t="s">
        <v>312</v>
      </c>
      <c r="B19" s="446"/>
      <c r="C19" s="446"/>
      <c r="D19" s="446"/>
      <c r="E19" s="446"/>
      <c r="F19" s="446"/>
      <c r="G19" s="447"/>
    </row>
    <row r="20" spans="1:9" ht="27.6" x14ac:dyDescent="0.3">
      <c r="A20" s="259" t="s">
        <v>144</v>
      </c>
      <c r="B20" s="260" t="s">
        <v>267</v>
      </c>
      <c r="C20" s="260" t="s">
        <v>268</v>
      </c>
      <c r="D20" s="260" t="s">
        <v>269</v>
      </c>
      <c r="E20" s="261" t="s">
        <v>270</v>
      </c>
      <c r="F20" s="262" t="s">
        <v>271</v>
      </c>
      <c r="G20" s="263" t="s">
        <v>283</v>
      </c>
    </row>
    <row r="21" spans="1:9" x14ac:dyDescent="0.3">
      <c r="A21" s="255">
        <v>11</v>
      </c>
      <c r="B21" s="254" t="s">
        <v>324</v>
      </c>
      <c r="C21" s="250" t="s">
        <v>298</v>
      </c>
      <c r="D21" s="295">
        <f>527.35*12</f>
        <v>6328.2000000000007</v>
      </c>
      <c r="E21" s="251">
        <v>5.75</v>
      </c>
      <c r="F21" s="318">
        <f>D21*E21</f>
        <v>36387.15</v>
      </c>
      <c r="G21" s="319">
        <f>F21/12</f>
        <v>3032.2625000000003</v>
      </c>
    </row>
    <row r="22" spans="1:9" ht="15" thickBot="1" x14ac:dyDescent="0.35">
      <c r="A22" s="297">
        <v>12</v>
      </c>
      <c r="B22" s="298" t="s">
        <v>325</v>
      </c>
      <c r="C22" s="299" t="s">
        <v>298</v>
      </c>
      <c r="D22" s="300">
        <f>36.65*12</f>
        <v>439.79999999999995</v>
      </c>
      <c r="E22" s="313">
        <v>5.75</v>
      </c>
      <c r="F22" s="318">
        <f>D22*E22</f>
        <v>2528.85</v>
      </c>
      <c r="G22" s="319">
        <f>F22/12</f>
        <v>210.73749999999998</v>
      </c>
    </row>
    <row r="23" spans="1:9" ht="15" thickBot="1" x14ac:dyDescent="0.35">
      <c r="A23" s="309"/>
      <c r="B23" s="310" t="s">
        <v>12</v>
      </c>
      <c r="C23" s="311"/>
      <c r="D23" s="310"/>
      <c r="E23" s="312">
        <f>SUM(E21)</f>
        <v>5.75</v>
      </c>
      <c r="F23" s="320">
        <f>SUM(F21:F22)</f>
        <v>38916</v>
      </c>
      <c r="G23" s="321">
        <f>SUM(G21:G22)</f>
        <v>3243.0000000000005</v>
      </c>
    </row>
    <row r="24" spans="1:9" ht="16.2" thickBot="1" x14ac:dyDescent="0.35">
      <c r="A24" s="450" t="s">
        <v>326</v>
      </c>
      <c r="B24" s="451"/>
      <c r="C24" s="451"/>
      <c r="D24" s="451"/>
      <c r="E24" s="451"/>
      <c r="F24" s="451"/>
      <c r="G24" s="267">
        <f>F21/2</f>
        <v>18193.575000000001</v>
      </c>
    </row>
    <row r="25" spans="1:9" ht="16.2" thickBot="1" x14ac:dyDescent="0.35">
      <c r="A25" s="448" t="s">
        <v>327</v>
      </c>
      <c r="B25" s="449"/>
      <c r="C25" s="449"/>
      <c r="D25" s="449"/>
      <c r="E25" s="449"/>
      <c r="F25" s="449"/>
      <c r="G25" s="269">
        <f>G24/12</f>
        <v>1516.1312500000001</v>
      </c>
    </row>
    <row r="26" spans="1:9" ht="16.2" thickBot="1" x14ac:dyDescent="0.35">
      <c r="A26" s="450" t="s">
        <v>328</v>
      </c>
      <c r="B26" s="451"/>
      <c r="C26" s="451"/>
      <c r="D26" s="451"/>
      <c r="E26" s="451"/>
      <c r="F26" s="451"/>
      <c r="G26" s="269">
        <f>F22/2</f>
        <v>1264.425</v>
      </c>
    </row>
    <row r="27" spans="1:9" ht="16.2" thickBot="1" x14ac:dyDescent="0.35">
      <c r="A27" s="448" t="s">
        <v>329</v>
      </c>
      <c r="B27" s="449"/>
      <c r="C27" s="449"/>
      <c r="D27" s="449"/>
      <c r="E27" s="449"/>
      <c r="F27" s="449"/>
      <c r="G27" s="269">
        <f>G26/12</f>
        <v>105.36874999999999</v>
      </c>
    </row>
  </sheetData>
  <mergeCells count="8">
    <mergeCell ref="A25:F25"/>
    <mergeCell ref="A26:F26"/>
    <mergeCell ref="A27:F27"/>
    <mergeCell ref="A3:G3"/>
    <mergeCell ref="A16:F16"/>
    <mergeCell ref="A17:F17"/>
    <mergeCell ref="A19:G19"/>
    <mergeCell ref="A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8"/>
  <sheetViews>
    <sheetView workbookViewId="0">
      <selection activeCell="E15" sqref="E15"/>
    </sheetView>
  </sheetViews>
  <sheetFormatPr defaultRowHeight="14.4" x14ac:dyDescent="0.3"/>
  <cols>
    <col min="1" max="1" width="10.6640625" customWidth="1"/>
    <col min="2" max="2" width="29.33203125" customWidth="1"/>
    <col min="3" max="3" width="18.33203125" customWidth="1"/>
    <col min="4" max="4" width="18.109375" customWidth="1"/>
    <col min="5" max="5" width="14.33203125" customWidth="1"/>
    <col min="6" max="6" width="16.33203125" customWidth="1"/>
    <col min="7" max="7" width="15.44140625" customWidth="1"/>
  </cols>
  <sheetData>
    <row r="1" spans="1:6" x14ac:dyDescent="0.3">
      <c r="A1" t="s">
        <v>109</v>
      </c>
    </row>
    <row r="2" spans="1:6" ht="15" thickBot="1" x14ac:dyDescent="0.35"/>
    <row r="3" spans="1:6" ht="15" thickBot="1" x14ac:dyDescent="0.35">
      <c r="A3" s="445" t="s">
        <v>307</v>
      </c>
      <c r="B3" s="446"/>
      <c r="C3" s="446"/>
      <c r="D3" s="446"/>
      <c r="E3" s="446"/>
      <c r="F3" s="447"/>
    </row>
    <row r="4" spans="1:6" ht="41.4" x14ac:dyDescent="0.3">
      <c r="A4" s="259" t="s">
        <v>144</v>
      </c>
      <c r="B4" s="260" t="s">
        <v>267</v>
      </c>
      <c r="C4" s="260" t="s">
        <v>304</v>
      </c>
      <c r="D4" s="260" t="s">
        <v>269</v>
      </c>
      <c r="E4" s="261" t="s">
        <v>270</v>
      </c>
      <c r="F4" s="263" t="s">
        <v>308</v>
      </c>
    </row>
    <row r="5" spans="1:6" x14ac:dyDescent="0.3">
      <c r="A5" s="255">
        <v>1</v>
      </c>
      <c r="B5" s="254" t="s">
        <v>330</v>
      </c>
      <c r="C5" s="250">
        <v>120</v>
      </c>
      <c r="D5" s="250">
        <v>1</v>
      </c>
      <c r="E5" s="306">
        <v>6870.25</v>
      </c>
      <c r="F5" s="305">
        <f>(E5/C5)*D5</f>
        <v>57.252083333333331</v>
      </c>
    </row>
    <row r="6" spans="1:6" x14ac:dyDescent="0.3">
      <c r="A6" s="255">
        <f t="shared" ref="A6:A7" si="0">A5+1</f>
        <v>2</v>
      </c>
      <c r="B6" s="254" t="s">
        <v>292</v>
      </c>
      <c r="C6" s="250">
        <v>60</v>
      </c>
      <c r="D6" s="250">
        <v>1</v>
      </c>
      <c r="E6" s="306">
        <v>1686.72</v>
      </c>
      <c r="F6" s="305">
        <f>(E6/C6)*D6</f>
        <v>28.112000000000002</v>
      </c>
    </row>
    <row r="7" spans="1:6" ht="15" thickBot="1" x14ac:dyDescent="0.35">
      <c r="A7" s="297">
        <f t="shared" si="0"/>
        <v>3</v>
      </c>
      <c r="B7" s="298" t="s">
        <v>293</v>
      </c>
      <c r="C7" s="299">
        <v>36</v>
      </c>
      <c r="D7" s="299">
        <v>1</v>
      </c>
      <c r="E7" s="307">
        <v>2316.66</v>
      </c>
      <c r="F7" s="308">
        <f>(E7/C7)*D7</f>
        <v>64.351666666666659</v>
      </c>
    </row>
    <row r="8" spans="1:6" ht="15" thickBot="1" x14ac:dyDescent="0.35">
      <c r="A8" s="309"/>
      <c r="B8" s="310" t="s">
        <v>12</v>
      </c>
      <c r="C8" s="311"/>
      <c r="D8" s="310"/>
      <c r="E8" s="312">
        <f>SUM(E5:E7)</f>
        <v>10873.63</v>
      </c>
      <c r="F8" s="312">
        <f>SUM(F5:F7)</f>
        <v>149.71574999999999</v>
      </c>
    </row>
    <row r="9" spans="1:6" ht="15.6" x14ac:dyDescent="0.3">
      <c r="A9" s="452" t="s">
        <v>309</v>
      </c>
      <c r="B9" s="453"/>
      <c r="C9" s="453"/>
      <c r="D9" s="453"/>
      <c r="E9" s="453"/>
      <c r="F9" s="270">
        <f>F8*12/2</f>
        <v>898.29449999999997</v>
      </c>
    </row>
    <row r="10" spans="1:6" ht="16.2" thickBot="1" x14ac:dyDescent="0.35">
      <c r="A10" s="443" t="s">
        <v>310</v>
      </c>
      <c r="B10" s="444"/>
      <c r="C10" s="444"/>
      <c r="D10" s="444"/>
      <c r="E10" s="444"/>
      <c r="F10" s="268">
        <f>F9/12</f>
        <v>74.857874999999993</v>
      </c>
    </row>
    <row r="12" spans="1:6" ht="15" thickBot="1" x14ac:dyDescent="0.35"/>
    <row r="13" spans="1:6" ht="15" thickBot="1" x14ac:dyDescent="0.35">
      <c r="A13" s="445" t="s">
        <v>332</v>
      </c>
      <c r="B13" s="446"/>
      <c r="C13" s="446"/>
      <c r="D13" s="446"/>
      <c r="E13" s="446"/>
      <c r="F13" s="447"/>
    </row>
    <row r="14" spans="1:6" ht="41.4" x14ac:dyDescent="0.3">
      <c r="A14" s="259" t="s">
        <v>144</v>
      </c>
      <c r="B14" s="260" t="s">
        <v>267</v>
      </c>
      <c r="C14" s="260" t="s">
        <v>304</v>
      </c>
      <c r="D14" s="260" t="s">
        <v>269</v>
      </c>
      <c r="E14" s="261" t="s">
        <v>270</v>
      </c>
      <c r="F14" s="263" t="s">
        <v>308</v>
      </c>
    </row>
    <row r="15" spans="1:6" ht="15" thickBot="1" x14ac:dyDescent="0.35">
      <c r="A15" s="297">
        <v>4</v>
      </c>
      <c r="B15" s="298" t="s">
        <v>297</v>
      </c>
      <c r="C15" s="299">
        <v>120</v>
      </c>
      <c r="D15" s="299">
        <v>1</v>
      </c>
      <c r="E15" s="313">
        <v>19035.080000000002</v>
      </c>
      <c r="F15" s="308">
        <f>(E15/C15)*D15</f>
        <v>158.62566666666669</v>
      </c>
    </row>
    <row r="16" spans="1:6" ht="15" thickBot="1" x14ac:dyDescent="0.35">
      <c r="A16" s="309"/>
      <c r="B16" s="310" t="s">
        <v>12</v>
      </c>
      <c r="C16" s="311"/>
      <c r="D16" s="310"/>
      <c r="E16" s="312">
        <f>SUM(E13:E15)</f>
        <v>19035.080000000002</v>
      </c>
      <c r="F16" s="312">
        <f>SUM(F13:F15)</f>
        <v>158.62566666666669</v>
      </c>
    </row>
    <row r="17" spans="1:6" ht="15.6" x14ac:dyDescent="0.3">
      <c r="A17" s="452" t="s">
        <v>309</v>
      </c>
      <c r="B17" s="453"/>
      <c r="C17" s="453"/>
      <c r="D17" s="453"/>
      <c r="E17" s="453"/>
      <c r="F17" s="270">
        <f>F16*12/2</f>
        <v>951.75400000000013</v>
      </c>
    </row>
    <row r="18" spans="1:6" ht="16.2" thickBot="1" x14ac:dyDescent="0.35">
      <c r="A18" s="443" t="s">
        <v>310</v>
      </c>
      <c r="B18" s="444"/>
      <c r="C18" s="444"/>
      <c r="D18" s="444"/>
      <c r="E18" s="444"/>
      <c r="F18" s="268">
        <f>F17/12</f>
        <v>79.312833333333344</v>
      </c>
    </row>
  </sheetData>
  <mergeCells count="6">
    <mergeCell ref="A18:E18"/>
    <mergeCell ref="A3:F3"/>
    <mergeCell ref="A9:E9"/>
    <mergeCell ref="A10:E10"/>
    <mergeCell ref="A13:F13"/>
    <mergeCell ref="A17:E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641"/>
  <sheetViews>
    <sheetView showGridLines="0" zoomScale="115" zoomScaleNormal="115" workbookViewId="0">
      <selection activeCell="H49" sqref="H49"/>
    </sheetView>
  </sheetViews>
  <sheetFormatPr defaultColWidth="9.109375" defaultRowHeight="24" customHeight="1" x14ac:dyDescent="0.3"/>
  <cols>
    <col min="1" max="1" width="44.6640625" style="29" bestFit="1" customWidth="1"/>
    <col min="2" max="2" width="17" style="29" customWidth="1"/>
    <col min="3" max="3" width="20.44140625" style="29" customWidth="1"/>
    <col min="4" max="4" width="20.21875" style="29" customWidth="1"/>
    <col min="5" max="5" width="17.6640625" style="29" customWidth="1"/>
    <col min="6" max="6" width="17.5546875" style="29" customWidth="1"/>
    <col min="7" max="7" width="15.88671875" style="29" customWidth="1"/>
    <col min="8" max="8" width="15.44140625" style="29" customWidth="1"/>
    <col min="9" max="16384" width="9.109375" style="29"/>
  </cols>
  <sheetData>
    <row r="1" spans="1:8" ht="24" customHeight="1" x14ac:dyDescent="0.4">
      <c r="A1" s="394" t="s">
        <v>220</v>
      </c>
      <c r="B1" s="394"/>
      <c r="C1" s="394"/>
      <c r="D1" s="394"/>
      <c r="E1" s="394"/>
      <c r="F1" s="394"/>
      <c r="G1" s="394"/>
      <c r="H1" s="394"/>
    </row>
    <row r="2" spans="1:8" ht="24" customHeight="1" x14ac:dyDescent="0.4">
      <c r="A2" s="394" t="s">
        <v>221</v>
      </c>
      <c r="B2" s="394"/>
      <c r="C2" s="394"/>
      <c r="D2" s="394"/>
      <c r="E2" s="394"/>
      <c r="F2" s="394"/>
      <c r="G2" s="394"/>
      <c r="H2" s="394"/>
    </row>
    <row r="3" spans="1:8" ht="24" customHeight="1" thickBot="1" x14ac:dyDescent="0.45">
      <c r="A3" s="193"/>
      <c r="B3" s="193"/>
      <c r="C3" s="193"/>
      <c r="D3" s="193"/>
      <c r="E3" s="193"/>
      <c r="F3" s="193"/>
      <c r="G3" s="193"/>
      <c r="H3" s="193"/>
    </row>
    <row r="4" spans="1:8" ht="15.75" customHeight="1" thickBot="1" x14ac:dyDescent="0.35">
      <c r="A4" s="397" t="s">
        <v>355</v>
      </c>
      <c r="B4" s="398"/>
      <c r="C4" s="398"/>
      <c r="D4" s="398"/>
      <c r="E4" s="398"/>
      <c r="F4" s="398"/>
      <c r="G4" s="398"/>
      <c r="H4" s="399"/>
    </row>
    <row r="5" spans="1:8" ht="24" customHeight="1" x14ac:dyDescent="0.3">
      <c r="A5" s="91"/>
      <c r="B5" s="91"/>
      <c r="C5" s="91"/>
      <c r="D5" s="91"/>
      <c r="E5" s="91"/>
      <c r="F5" s="91"/>
      <c r="G5" s="90"/>
      <c r="H5" s="90"/>
    </row>
    <row r="6" spans="1:8" ht="24" customHeight="1" x14ac:dyDescent="0.3">
      <c r="A6" s="378" t="s">
        <v>5</v>
      </c>
      <c r="B6" s="378"/>
      <c r="C6" s="378"/>
      <c r="D6" s="378"/>
      <c r="E6" s="378"/>
      <c r="F6" s="378"/>
      <c r="G6" s="378"/>
      <c r="H6" s="378"/>
    </row>
    <row r="7" spans="1:8" ht="24" customHeight="1" x14ac:dyDescent="0.3">
      <c r="A7" s="91"/>
      <c r="B7" s="91"/>
      <c r="C7" s="91"/>
      <c r="D7" s="91"/>
      <c r="E7" s="91"/>
      <c r="F7" s="91"/>
      <c r="G7" s="90"/>
      <c r="H7" s="90"/>
    </row>
    <row r="8" spans="1:8" ht="24" customHeight="1" x14ac:dyDescent="0.3">
      <c r="A8" s="380" t="s">
        <v>0</v>
      </c>
      <c r="B8" s="381"/>
      <c r="C8" s="381"/>
      <c r="D8" s="381"/>
      <c r="E8" s="381"/>
      <c r="F8" s="381"/>
      <c r="G8" s="381"/>
      <c r="H8" s="381"/>
    </row>
    <row r="9" spans="1:8" ht="24" customHeight="1" thickBot="1" x14ac:dyDescent="0.35"/>
    <row r="10" spans="1:8" ht="24" customHeight="1" thickBot="1" x14ac:dyDescent="0.35">
      <c r="A10" s="395" t="s">
        <v>356</v>
      </c>
      <c r="B10" s="396"/>
    </row>
    <row r="11" spans="1:8" ht="24" customHeight="1" thickBot="1" x14ac:dyDescent="0.35">
      <c r="A11" s="163" t="s">
        <v>233</v>
      </c>
      <c r="B11" s="356">
        <v>1733.93</v>
      </c>
      <c r="F11" s="176"/>
    </row>
    <row r="12" spans="1:8" ht="24" customHeight="1" thickBot="1" x14ac:dyDescent="0.35">
      <c r="A12" s="158" t="s">
        <v>261</v>
      </c>
      <c r="B12" s="357">
        <f>B11</f>
        <v>1733.93</v>
      </c>
    </row>
    <row r="13" spans="1:8" ht="24" customHeight="1" x14ac:dyDescent="0.3">
      <c r="A13" s="91"/>
      <c r="B13" s="91"/>
      <c r="C13" s="91"/>
      <c r="D13" s="91"/>
      <c r="E13" s="91"/>
      <c r="F13" s="91"/>
      <c r="G13" s="91"/>
      <c r="H13" s="91"/>
    </row>
    <row r="14" spans="1:8" ht="24" customHeight="1" x14ac:dyDescent="0.3">
      <c r="A14" s="380" t="s">
        <v>263</v>
      </c>
      <c r="B14" s="381"/>
      <c r="C14" s="381"/>
      <c r="D14" s="381"/>
      <c r="E14" s="381"/>
      <c r="F14" s="381"/>
      <c r="G14" s="381"/>
      <c r="H14" s="381"/>
    </row>
    <row r="15" spans="1:8" ht="24" customHeight="1" thickBot="1" x14ac:dyDescent="0.35">
      <c r="A15" s="91"/>
      <c r="B15" s="91"/>
      <c r="C15" s="91"/>
      <c r="D15" s="91"/>
      <c r="E15" s="91"/>
      <c r="F15" s="91"/>
    </row>
    <row r="16" spans="1:8" ht="24" customHeight="1" thickBot="1" x14ac:dyDescent="0.35">
      <c r="A16" s="373" t="s">
        <v>357</v>
      </c>
      <c r="B16" s="374"/>
      <c r="C16" s="374"/>
      <c r="D16" s="375"/>
    </row>
    <row r="17" spans="1:8" ht="31.8" thickBot="1" x14ac:dyDescent="0.35">
      <c r="A17" s="37" t="s">
        <v>3</v>
      </c>
      <c r="B17" s="38" t="s">
        <v>1</v>
      </c>
      <c r="C17" s="38" t="s">
        <v>2</v>
      </c>
      <c r="D17" s="239" t="s">
        <v>131</v>
      </c>
    </row>
    <row r="18" spans="1:8" ht="24" customHeight="1" thickBot="1" x14ac:dyDescent="0.35">
      <c r="A18" s="163" t="s">
        <v>233</v>
      </c>
      <c r="B18" s="164">
        <f>B11</f>
        <v>1733.93</v>
      </c>
      <c r="C18" s="191">
        <v>0</v>
      </c>
      <c r="D18" s="192">
        <f>B18*C18</f>
        <v>0</v>
      </c>
      <c r="E18" s="90"/>
      <c r="G18" s="90"/>
      <c r="H18" s="90"/>
    </row>
    <row r="19" spans="1:8" ht="24" customHeight="1" thickBot="1" x14ac:dyDescent="0.35">
      <c r="A19" s="158" t="s">
        <v>234</v>
      </c>
      <c r="B19" s="159">
        <f>B12</f>
        <v>1733.93</v>
      </c>
      <c r="C19" s="189">
        <v>0.12</v>
      </c>
      <c r="D19" s="190">
        <f>B19*C19</f>
        <v>208.07159999999999</v>
      </c>
      <c r="E19" s="90"/>
      <c r="G19" s="90"/>
      <c r="H19" s="90"/>
    </row>
    <row r="20" spans="1:8" ht="24" customHeight="1" thickBot="1" x14ac:dyDescent="0.35"/>
    <row r="21" spans="1:8" ht="24" customHeight="1" thickBot="1" x14ac:dyDescent="0.35">
      <c r="A21" s="373" t="s">
        <v>358</v>
      </c>
      <c r="B21" s="374"/>
      <c r="C21" s="374"/>
      <c r="D21" s="375"/>
    </row>
    <row r="22" spans="1:8" ht="24" customHeight="1" thickBot="1" x14ac:dyDescent="0.35">
      <c r="A22" s="34" t="s">
        <v>3</v>
      </c>
      <c r="B22" s="35" t="s">
        <v>1</v>
      </c>
      <c r="C22" s="35" t="s">
        <v>2</v>
      </c>
      <c r="D22" s="36" t="s">
        <v>4</v>
      </c>
    </row>
    <row r="23" spans="1:8" ht="24" customHeight="1" thickBot="1" x14ac:dyDescent="0.35">
      <c r="A23" s="1" t="s">
        <v>352</v>
      </c>
      <c r="B23" s="159">
        <f>B11</f>
        <v>1733.93</v>
      </c>
      <c r="C23" s="161">
        <v>0.12</v>
      </c>
      <c r="D23" s="162">
        <f>B23*C23</f>
        <v>208.07159999999999</v>
      </c>
    </row>
    <row r="24" spans="1:8" ht="24" customHeight="1" thickBot="1" x14ac:dyDescent="0.35">
      <c r="A24" s="2" t="s">
        <v>374</v>
      </c>
      <c r="B24" s="159">
        <f>B11</f>
        <v>1733.93</v>
      </c>
      <c r="C24" s="161">
        <v>0.12</v>
      </c>
      <c r="D24" s="162">
        <f>B24*C24</f>
        <v>208.07159999999999</v>
      </c>
    </row>
    <row r="25" spans="1:8" ht="24" customHeight="1" thickBot="1" x14ac:dyDescent="0.35">
      <c r="A25" s="1" t="s">
        <v>353</v>
      </c>
      <c r="B25" s="159">
        <f>B11</f>
        <v>1733.93</v>
      </c>
      <c r="C25" s="161">
        <v>0.12</v>
      </c>
      <c r="D25" s="162">
        <f>B25*C25</f>
        <v>208.07159999999999</v>
      </c>
    </row>
    <row r="26" spans="1:8" ht="24" customHeight="1" thickBot="1" x14ac:dyDescent="0.35">
      <c r="A26" s="2" t="s">
        <v>375</v>
      </c>
      <c r="B26" s="159">
        <f>B11</f>
        <v>1733.93</v>
      </c>
      <c r="C26" s="161">
        <v>0.12</v>
      </c>
      <c r="D26" s="162">
        <f>B26*C26</f>
        <v>208.07159999999999</v>
      </c>
    </row>
    <row r="28" spans="1:8" ht="24" customHeight="1" x14ac:dyDescent="0.3">
      <c r="A28" s="380" t="s">
        <v>359</v>
      </c>
      <c r="B28" s="381"/>
      <c r="C28" s="381"/>
      <c r="D28" s="381"/>
      <c r="E28" s="381"/>
      <c r="F28" s="381"/>
      <c r="G28" s="381"/>
      <c r="H28" s="381"/>
    </row>
    <row r="29" spans="1:8" ht="24" customHeight="1" thickBot="1" x14ac:dyDescent="0.35">
      <c r="A29" s="90"/>
      <c r="B29" s="90"/>
      <c r="C29" s="90"/>
      <c r="D29" s="90"/>
      <c r="F29" s="90"/>
    </row>
    <row r="30" spans="1:8" ht="24" customHeight="1" thickBot="1" x14ac:dyDescent="0.35">
      <c r="A30" s="373" t="s">
        <v>228</v>
      </c>
      <c r="B30" s="374"/>
      <c r="C30" s="374"/>
      <c r="D30" s="375"/>
    </row>
    <row r="31" spans="1:8" ht="24" customHeight="1" thickBot="1" x14ac:dyDescent="0.35">
      <c r="A31" s="37" t="s">
        <v>3</v>
      </c>
      <c r="B31" s="38" t="s">
        <v>1</v>
      </c>
      <c r="C31" s="38" t="s">
        <v>2</v>
      </c>
      <c r="D31" s="39" t="s">
        <v>4</v>
      </c>
    </row>
    <row r="32" spans="1:8" ht="24" customHeight="1" x14ac:dyDescent="0.3">
      <c r="A32" s="3" t="s">
        <v>235</v>
      </c>
      <c r="B32" s="5">
        <f>$B$11</f>
        <v>1733.93</v>
      </c>
      <c r="C32" s="70">
        <v>0.3</v>
      </c>
      <c r="D32" s="7">
        <f t="shared" ref="D32:D39" si="0">B32*C32</f>
        <v>520.17899999999997</v>
      </c>
    </row>
    <row r="33" spans="1:12" ht="24" customHeight="1" thickBot="1" x14ac:dyDescent="0.35">
      <c r="A33" s="2" t="s">
        <v>238</v>
      </c>
      <c r="B33" s="65">
        <f t="shared" ref="B33:B37" si="1">$B$11</f>
        <v>1733.93</v>
      </c>
      <c r="C33" s="72">
        <v>0.3</v>
      </c>
      <c r="D33" s="67">
        <f t="shared" si="0"/>
        <v>520.17899999999997</v>
      </c>
    </row>
    <row r="34" spans="1:12" ht="24" customHeight="1" x14ac:dyDescent="0.3">
      <c r="A34" s="1" t="s">
        <v>352</v>
      </c>
      <c r="B34" s="5">
        <f>$B$11</f>
        <v>1733.93</v>
      </c>
      <c r="C34" s="70">
        <v>0.3</v>
      </c>
      <c r="D34" s="7">
        <f t="shared" si="0"/>
        <v>520.17899999999997</v>
      </c>
    </row>
    <row r="35" spans="1:12" ht="24" customHeight="1" thickBot="1" x14ac:dyDescent="0.35">
      <c r="A35" s="2" t="s">
        <v>374</v>
      </c>
      <c r="B35" s="65">
        <f t="shared" si="1"/>
        <v>1733.93</v>
      </c>
      <c r="C35" s="72">
        <v>0.3</v>
      </c>
      <c r="D35" s="67">
        <f t="shared" si="0"/>
        <v>520.17899999999997</v>
      </c>
    </row>
    <row r="36" spans="1:12" ht="24" customHeight="1" x14ac:dyDescent="0.3">
      <c r="A36" s="1" t="s">
        <v>353</v>
      </c>
      <c r="B36" s="5">
        <f>$B$11</f>
        <v>1733.93</v>
      </c>
      <c r="C36" s="70">
        <v>0.3</v>
      </c>
      <c r="D36" s="7">
        <f t="shared" ref="D36:D37" si="2">B36*C36</f>
        <v>520.17899999999997</v>
      </c>
    </row>
    <row r="37" spans="1:12" ht="24" customHeight="1" thickBot="1" x14ac:dyDescent="0.35">
      <c r="A37" s="2" t="s">
        <v>375</v>
      </c>
      <c r="B37" s="65">
        <f t="shared" si="1"/>
        <v>1733.93</v>
      </c>
      <c r="C37" s="72">
        <v>0.3</v>
      </c>
      <c r="D37" s="67">
        <f t="shared" si="2"/>
        <v>520.17899999999997</v>
      </c>
    </row>
    <row r="38" spans="1:12" ht="24" customHeight="1" x14ac:dyDescent="0.3">
      <c r="A38" s="1" t="s">
        <v>236</v>
      </c>
      <c r="B38" s="10">
        <f>$B$12</f>
        <v>1733.93</v>
      </c>
      <c r="C38" s="157">
        <v>0.3</v>
      </c>
      <c r="D38" s="9">
        <f t="shared" si="0"/>
        <v>520.17899999999997</v>
      </c>
    </row>
    <row r="39" spans="1:12" ht="24" customHeight="1" thickBot="1" x14ac:dyDescent="0.35">
      <c r="A39" s="2" t="s">
        <v>237</v>
      </c>
      <c r="B39" s="65">
        <f t="shared" ref="B39" si="3">$B$12</f>
        <v>1733.93</v>
      </c>
      <c r="C39" s="72">
        <v>0.3</v>
      </c>
      <c r="D39" s="67">
        <f t="shared" si="0"/>
        <v>520.17899999999997</v>
      </c>
    </row>
    <row r="41" spans="1:12" ht="24" customHeight="1" x14ac:dyDescent="0.3">
      <c r="A41" s="380" t="s">
        <v>360</v>
      </c>
      <c r="B41" s="381"/>
      <c r="C41" s="381"/>
      <c r="D41" s="381"/>
      <c r="E41" s="381"/>
      <c r="F41" s="381"/>
      <c r="G41" s="381"/>
      <c r="H41" s="381"/>
    </row>
    <row r="42" spans="1:12" ht="24" customHeight="1" thickBot="1" x14ac:dyDescent="0.35"/>
    <row r="43" spans="1:12" ht="24" customHeight="1" thickBot="1" x14ac:dyDescent="0.35">
      <c r="A43" s="373" t="s">
        <v>262</v>
      </c>
      <c r="B43" s="374"/>
      <c r="C43" s="374"/>
      <c r="D43" s="374"/>
      <c r="E43" s="375"/>
    </row>
    <row r="44" spans="1:12" ht="24" customHeight="1" thickBot="1" x14ac:dyDescent="0.35">
      <c r="A44" s="37" t="s">
        <v>3</v>
      </c>
      <c r="B44" s="38" t="s">
        <v>7</v>
      </c>
      <c r="C44" s="38" t="s">
        <v>8</v>
      </c>
      <c r="D44" s="38" t="s">
        <v>2</v>
      </c>
      <c r="E44" s="39" t="s">
        <v>4</v>
      </c>
    </row>
    <row r="45" spans="1:12" ht="24" customHeight="1" x14ac:dyDescent="0.3">
      <c r="A45" s="3" t="s">
        <v>238</v>
      </c>
      <c r="B45" s="5">
        <f>$B$11</f>
        <v>1733.93</v>
      </c>
      <c r="C45" s="76">
        <f>7/12</f>
        <v>0.58333333333333337</v>
      </c>
      <c r="D45" s="70">
        <v>0.2</v>
      </c>
      <c r="E45" s="7">
        <f>B45*C45*D45</f>
        <v>202.29183333333336</v>
      </c>
      <c r="I45" s="376"/>
      <c r="J45" s="376"/>
      <c r="K45" s="376"/>
      <c r="L45" s="376"/>
    </row>
    <row r="46" spans="1:12" ht="24" customHeight="1" thickBot="1" x14ac:dyDescent="0.35">
      <c r="A46" s="2" t="s">
        <v>237</v>
      </c>
      <c r="B46" s="65">
        <f>$B$11</f>
        <v>1733.93</v>
      </c>
      <c r="C46" s="77">
        <f>7/12</f>
        <v>0.58333333333333337</v>
      </c>
      <c r="D46" s="72">
        <f>D45</f>
        <v>0.2</v>
      </c>
      <c r="E46" s="67">
        <f>B46*C46*D46</f>
        <v>202.29183333333336</v>
      </c>
    </row>
    <row r="47" spans="1:12" ht="24" customHeight="1" thickBot="1" x14ac:dyDescent="0.35">
      <c r="A47" s="240"/>
      <c r="B47" s="241"/>
      <c r="C47" s="242"/>
      <c r="D47" s="243"/>
      <c r="E47" s="244"/>
    </row>
    <row r="48" spans="1:12" ht="24" customHeight="1" thickBot="1" x14ac:dyDescent="0.35">
      <c r="A48" s="373" t="s">
        <v>9</v>
      </c>
      <c r="B48" s="374"/>
      <c r="C48" s="374"/>
      <c r="D48" s="374"/>
      <c r="E48" s="375"/>
    </row>
    <row r="49" spans="1:8" ht="24" customHeight="1" thickBot="1" x14ac:dyDescent="0.35">
      <c r="A49" s="37" t="s">
        <v>3</v>
      </c>
      <c r="B49" s="38" t="s">
        <v>7</v>
      </c>
      <c r="C49" s="38" t="s">
        <v>8</v>
      </c>
      <c r="D49" s="38" t="s">
        <v>2</v>
      </c>
      <c r="E49" s="39" t="s">
        <v>4</v>
      </c>
    </row>
    <row r="50" spans="1:8" ht="24" customHeight="1" thickBot="1" x14ac:dyDescent="0.35">
      <c r="A50" s="163" t="s">
        <v>238</v>
      </c>
      <c r="B50" s="164">
        <f>$B$11</f>
        <v>1733.93</v>
      </c>
      <c r="C50" s="165">
        <f>1/12</f>
        <v>8.3333333333333329E-2</v>
      </c>
      <c r="D50" s="166">
        <f>1+D45</f>
        <v>1.2</v>
      </c>
      <c r="E50" s="167">
        <f>B50*C50*D50</f>
        <v>173.393</v>
      </c>
    </row>
    <row r="51" spans="1:8" ht="24" customHeight="1" thickBot="1" x14ac:dyDescent="0.35">
      <c r="A51" s="158" t="s">
        <v>237</v>
      </c>
      <c r="B51" s="159">
        <f>$B$11</f>
        <v>1733.93</v>
      </c>
      <c r="C51" s="160">
        <f>1/12</f>
        <v>8.3333333333333329E-2</v>
      </c>
      <c r="D51" s="161">
        <f>1+D46</f>
        <v>1.2</v>
      </c>
      <c r="E51" s="162">
        <f>B51*C51*D51</f>
        <v>173.393</v>
      </c>
    </row>
    <row r="52" spans="1:8" ht="24" customHeight="1" thickBot="1" x14ac:dyDescent="0.35"/>
    <row r="53" spans="1:8" ht="24" customHeight="1" thickBot="1" x14ac:dyDescent="0.35">
      <c r="A53" s="373" t="s">
        <v>6</v>
      </c>
      <c r="B53" s="374"/>
      <c r="C53" s="374"/>
      <c r="D53" s="375"/>
    </row>
    <row r="54" spans="1:8" ht="31.95" customHeight="1" thickBot="1" x14ac:dyDescent="0.35">
      <c r="A54" s="37" t="s">
        <v>3</v>
      </c>
      <c r="B54" s="38" t="s">
        <v>10</v>
      </c>
      <c r="C54" s="11" t="s">
        <v>11</v>
      </c>
      <c r="D54" s="39" t="s">
        <v>4</v>
      </c>
    </row>
    <row r="55" spans="1:8" ht="24" customHeight="1" thickBot="1" x14ac:dyDescent="0.35">
      <c r="A55" s="163" t="s">
        <v>238</v>
      </c>
      <c r="B55" s="164">
        <f>E45</f>
        <v>202.29183333333336</v>
      </c>
      <c r="C55" s="164">
        <f>E50</f>
        <v>173.393</v>
      </c>
      <c r="D55" s="167">
        <f>SUM(B55:C55)</f>
        <v>375.68483333333336</v>
      </c>
    </row>
    <row r="56" spans="1:8" ht="24" customHeight="1" thickBot="1" x14ac:dyDescent="0.35">
      <c r="A56" s="158" t="s">
        <v>237</v>
      </c>
      <c r="B56" s="159">
        <f>E46</f>
        <v>202.29183333333336</v>
      </c>
      <c r="C56" s="159">
        <f>E51</f>
        <v>173.393</v>
      </c>
      <c r="D56" s="162">
        <f>SUM(B56:C56)</f>
        <v>375.68483333333336</v>
      </c>
      <c r="G56" s="90"/>
      <c r="H56" s="90"/>
    </row>
    <row r="58" spans="1:8" ht="24" customHeight="1" x14ac:dyDescent="0.3">
      <c r="A58" s="380" t="s">
        <v>361</v>
      </c>
      <c r="B58" s="381"/>
      <c r="C58" s="381"/>
      <c r="D58" s="381"/>
      <c r="E58" s="381"/>
      <c r="F58" s="381"/>
      <c r="G58" s="381"/>
      <c r="H58" s="381"/>
    </row>
    <row r="59" spans="1:8" ht="24" customHeight="1" thickBot="1" x14ac:dyDescent="0.35"/>
    <row r="60" spans="1:8" ht="24" customHeight="1" thickBot="1" x14ac:dyDescent="0.35">
      <c r="A60" s="373" t="s">
        <v>264</v>
      </c>
      <c r="B60" s="374"/>
      <c r="C60" s="374"/>
      <c r="D60" s="375"/>
    </row>
    <row r="61" spans="1:8" ht="24" customHeight="1" thickBot="1" x14ac:dyDescent="0.35">
      <c r="A61" s="37" t="s">
        <v>3</v>
      </c>
      <c r="B61" s="38" t="s">
        <v>1</v>
      </c>
      <c r="C61" s="38" t="s">
        <v>266</v>
      </c>
      <c r="D61" s="39" t="s">
        <v>4</v>
      </c>
    </row>
    <row r="62" spans="1:8" ht="24" customHeight="1" x14ac:dyDescent="0.3">
      <c r="A62" s="3" t="s">
        <v>235</v>
      </c>
      <c r="B62" s="5">
        <f>((B11+D32)/220*100%)</f>
        <v>10.245949999999999</v>
      </c>
      <c r="C62" s="68">
        <f t="shared" ref="C62:C67" si="4">3*12</f>
        <v>36</v>
      </c>
      <c r="D62" s="152">
        <f t="shared" ref="D62:D69" si="5">(B62*C62)/12</f>
        <v>30.737849999999995</v>
      </c>
    </row>
    <row r="63" spans="1:8" ht="24" customHeight="1" thickBot="1" x14ac:dyDescent="0.35">
      <c r="A63" s="2" t="s">
        <v>238</v>
      </c>
      <c r="B63" s="65">
        <f>((B11+D33+D55)/220*100%)</f>
        <v>11.953608333333333</v>
      </c>
      <c r="C63" s="69">
        <f t="shared" si="4"/>
        <v>36</v>
      </c>
      <c r="D63" s="156">
        <f t="shared" si="5"/>
        <v>35.860824999999998</v>
      </c>
    </row>
    <row r="64" spans="1:8" ht="24" customHeight="1" x14ac:dyDescent="0.3">
      <c r="A64" s="1" t="s">
        <v>352</v>
      </c>
      <c r="B64" s="5">
        <f>((B11+D32)/220*100%)</f>
        <v>10.245949999999999</v>
      </c>
      <c r="C64" s="68">
        <f t="shared" si="4"/>
        <v>36</v>
      </c>
      <c r="D64" s="152">
        <f t="shared" si="5"/>
        <v>30.737849999999995</v>
      </c>
    </row>
    <row r="65" spans="1:8" ht="24" customHeight="1" thickBot="1" x14ac:dyDescent="0.35">
      <c r="A65" s="2" t="s">
        <v>374</v>
      </c>
      <c r="B65" s="65">
        <f>((B11+D33+D55)/220*100%)</f>
        <v>11.953608333333333</v>
      </c>
      <c r="C65" s="69">
        <f t="shared" si="4"/>
        <v>36</v>
      </c>
      <c r="D65" s="156">
        <f t="shared" si="5"/>
        <v>35.860824999999998</v>
      </c>
    </row>
    <row r="66" spans="1:8" ht="24" customHeight="1" x14ac:dyDescent="0.3">
      <c r="A66" s="1" t="s">
        <v>353</v>
      </c>
      <c r="B66" s="5">
        <f>((B11+D34)/220*100%)</f>
        <v>10.245949999999999</v>
      </c>
      <c r="C66" s="68">
        <f t="shared" si="4"/>
        <v>36</v>
      </c>
      <c r="D66" s="152">
        <f t="shared" ref="D66:D67" si="6">(B66*C66)/12</f>
        <v>30.737849999999995</v>
      </c>
    </row>
    <row r="67" spans="1:8" ht="24" customHeight="1" thickBot="1" x14ac:dyDescent="0.35">
      <c r="A67" s="2" t="s">
        <v>375</v>
      </c>
      <c r="B67" s="65">
        <f>((B11+D33+D55)/220*100%)</f>
        <v>11.953608333333333</v>
      </c>
      <c r="C67" s="69">
        <f t="shared" si="4"/>
        <v>36</v>
      </c>
      <c r="D67" s="156">
        <f t="shared" si="6"/>
        <v>35.860824999999998</v>
      </c>
    </row>
    <row r="68" spans="1:8" ht="24" customHeight="1" x14ac:dyDescent="0.3">
      <c r="A68" s="1" t="s">
        <v>236</v>
      </c>
      <c r="B68" s="10">
        <f>((B12+D38)/220*100%)</f>
        <v>10.245949999999999</v>
      </c>
      <c r="C68" s="168">
        <f t="shared" ref="C68:C69" si="7">3*12</f>
        <v>36</v>
      </c>
      <c r="D68" s="169">
        <f t="shared" si="5"/>
        <v>30.737849999999995</v>
      </c>
    </row>
    <row r="69" spans="1:8" ht="24" customHeight="1" thickBot="1" x14ac:dyDescent="0.35">
      <c r="A69" s="2" t="s">
        <v>237</v>
      </c>
      <c r="B69" s="65">
        <f>((B12+D39+D56)/220*100%)</f>
        <v>11.953608333333333</v>
      </c>
      <c r="C69" s="69">
        <f t="shared" si="7"/>
        <v>36</v>
      </c>
      <c r="D69" s="156">
        <f t="shared" si="5"/>
        <v>35.860824999999998</v>
      </c>
    </row>
    <row r="71" spans="1:8" ht="24" customHeight="1" x14ac:dyDescent="0.3">
      <c r="A71" s="378" t="s">
        <v>5</v>
      </c>
      <c r="B71" s="378"/>
      <c r="C71" s="378"/>
      <c r="D71" s="378"/>
      <c r="E71" s="378"/>
      <c r="F71" s="378"/>
      <c r="G71" s="378"/>
      <c r="H71" s="378"/>
    </row>
    <row r="72" spans="1:8" ht="24" customHeight="1" thickBot="1" x14ac:dyDescent="0.35"/>
    <row r="73" spans="1:8" ht="24" customHeight="1" thickBot="1" x14ac:dyDescent="0.35">
      <c r="A73" s="373" t="s">
        <v>5</v>
      </c>
      <c r="B73" s="374"/>
      <c r="C73" s="374"/>
      <c r="D73" s="374"/>
      <c r="E73" s="374"/>
      <c r="F73" s="374"/>
      <c r="G73" s="374"/>
      <c r="H73" s="375"/>
    </row>
    <row r="74" spans="1:8" ht="78.599999999999994" thickBot="1" x14ac:dyDescent="0.35">
      <c r="A74" s="362" t="s">
        <v>3</v>
      </c>
      <c r="B74" s="15" t="s">
        <v>362</v>
      </c>
      <c r="C74" s="15" t="s">
        <v>363</v>
      </c>
      <c r="D74" s="15" t="s">
        <v>364</v>
      </c>
      <c r="E74" s="15" t="s">
        <v>365</v>
      </c>
      <c r="F74" s="15" t="s">
        <v>366</v>
      </c>
      <c r="G74" s="15" t="s">
        <v>367</v>
      </c>
      <c r="H74" s="363" t="s">
        <v>12</v>
      </c>
    </row>
    <row r="75" spans="1:8" ht="24" customHeight="1" x14ac:dyDescent="0.3">
      <c r="A75" s="3" t="s">
        <v>235</v>
      </c>
      <c r="B75" s="339">
        <f>B11</f>
        <v>1733.93</v>
      </c>
      <c r="C75" s="5">
        <f>D18</f>
        <v>0</v>
      </c>
      <c r="D75" s="87">
        <v>0</v>
      </c>
      <c r="E75" s="5">
        <f t="shared" ref="E75:E82" si="8">D32</f>
        <v>520.17899999999997</v>
      </c>
      <c r="F75" s="5">
        <v>0</v>
      </c>
      <c r="G75" s="87">
        <f t="shared" ref="G75:G82" si="9">D62</f>
        <v>30.737849999999995</v>
      </c>
      <c r="H75" s="7">
        <f t="shared" ref="H75:H82" si="10">SUM(B75:G75)</f>
        <v>2284.8468499999999</v>
      </c>
    </row>
    <row r="76" spans="1:8" ht="24" customHeight="1" thickBot="1" x14ac:dyDescent="0.35">
      <c r="A76" s="2" t="s">
        <v>238</v>
      </c>
      <c r="B76" s="340">
        <f>B11</f>
        <v>1733.93</v>
      </c>
      <c r="C76" s="6">
        <f>D18</f>
        <v>0</v>
      </c>
      <c r="D76" s="88">
        <v>0</v>
      </c>
      <c r="E76" s="6">
        <f t="shared" si="8"/>
        <v>520.17899999999997</v>
      </c>
      <c r="F76" s="6">
        <f>D55</f>
        <v>375.68483333333336</v>
      </c>
      <c r="G76" s="88">
        <f t="shared" si="9"/>
        <v>35.860824999999998</v>
      </c>
      <c r="H76" s="9">
        <f t="shared" si="10"/>
        <v>2665.6546583333334</v>
      </c>
    </row>
    <row r="77" spans="1:8" ht="24" customHeight="1" x14ac:dyDescent="0.3">
      <c r="A77" s="1" t="s">
        <v>352</v>
      </c>
      <c r="B77" s="339">
        <f>B11</f>
        <v>1733.93</v>
      </c>
      <c r="C77" s="5">
        <f>D20</f>
        <v>0</v>
      </c>
      <c r="D77" s="87">
        <f>D23</f>
        <v>208.07159999999999</v>
      </c>
      <c r="E77" s="5">
        <f t="shared" si="8"/>
        <v>520.17899999999997</v>
      </c>
      <c r="F77" s="5">
        <v>0</v>
      </c>
      <c r="G77" s="87">
        <f t="shared" si="9"/>
        <v>30.737849999999995</v>
      </c>
      <c r="H77" s="7">
        <f t="shared" si="10"/>
        <v>2492.9184500000001</v>
      </c>
    </row>
    <row r="78" spans="1:8" ht="24" customHeight="1" thickBot="1" x14ac:dyDescent="0.35">
      <c r="A78" s="2" t="s">
        <v>374</v>
      </c>
      <c r="B78" s="341">
        <f>B11</f>
        <v>1733.93</v>
      </c>
      <c r="C78" s="65">
        <f>D20</f>
        <v>0</v>
      </c>
      <c r="D78" s="89">
        <f>D24</f>
        <v>208.07159999999999</v>
      </c>
      <c r="E78" s="65">
        <f t="shared" si="8"/>
        <v>520.17899999999997</v>
      </c>
      <c r="F78" s="65">
        <f>D55</f>
        <v>375.68483333333336</v>
      </c>
      <c r="G78" s="89">
        <f t="shared" si="9"/>
        <v>35.860824999999998</v>
      </c>
      <c r="H78" s="162">
        <f t="shared" si="10"/>
        <v>2873.7262583333336</v>
      </c>
    </row>
    <row r="79" spans="1:8" ht="24" customHeight="1" x14ac:dyDescent="0.3">
      <c r="A79" s="1" t="s">
        <v>353</v>
      </c>
      <c r="B79" s="339">
        <f>B11</f>
        <v>1733.93</v>
      </c>
      <c r="C79" s="5">
        <f>D21</f>
        <v>0</v>
      </c>
      <c r="D79" s="87">
        <f>D25</f>
        <v>208.07159999999999</v>
      </c>
      <c r="E79" s="5">
        <f t="shared" si="8"/>
        <v>520.17899999999997</v>
      </c>
      <c r="F79" s="5">
        <v>0</v>
      </c>
      <c r="G79" s="87">
        <f t="shared" si="9"/>
        <v>30.737849999999995</v>
      </c>
      <c r="H79" s="7">
        <f t="shared" ref="H79" si="11">SUM(B79:G79)</f>
        <v>2492.9184500000001</v>
      </c>
    </row>
    <row r="80" spans="1:8" ht="24" customHeight="1" thickBot="1" x14ac:dyDescent="0.35">
      <c r="A80" s="2" t="s">
        <v>375</v>
      </c>
      <c r="B80" s="341">
        <f>B11</f>
        <v>1733.93</v>
      </c>
      <c r="C80" s="65">
        <f>D21</f>
        <v>0</v>
      </c>
      <c r="D80" s="89">
        <f>D26</f>
        <v>208.07159999999999</v>
      </c>
      <c r="E80" s="65">
        <f t="shared" si="8"/>
        <v>520.17899999999997</v>
      </c>
      <c r="F80" s="65">
        <f>D55</f>
        <v>375.68483333333336</v>
      </c>
      <c r="G80" s="89">
        <f t="shared" si="9"/>
        <v>35.860824999999998</v>
      </c>
      <c r="H80" s="162">
        <f>SUM(B80:G80)</f>
        <v>2873.7262583333336</v>
      </c>
    </row>
    <row r="81" spans="1:8" ht="24" customHeight="1" x14ac:dyDescent="0.3">
      <c r="A81" s="1" t="s">
        <v>236</v>
      </c>
      <c r="B81" s="339">
        <f>B12</f>
        <v>1733.93</v>
      </c>
      <c r="C81" s="5">
        <f>D19</f>
        <v>208.07159999999999</v>
      </c>
      <c r="D81" s="87">
        <v>0</v>
      </c>
      <c r="E81" s="5">
        <f t="shared" si="8"/>
        <v>520.17899999999997</v>
      </c>
      <c r="F81" s="5">
        <v>0</v>
      </c>
      <c r="G81" s="87">
        <f t="shared" si="9"/>
        <v>30.737849999999995</v>
      </c>
      <c r="H81" s="7">
        <f t="shared" si="10"/>
        <v>2492.9184500000001</v>
      </c>
    </row>
    <row r="82" spans="1:8" ht="24" customHeight="1" thickBot="1" x14ac:dyDescent="0.35">
      <c r="A82" s="2" t="s">
        <v>239</v>
      </c>
      <c r="B82" s="341">
        <f>B12</f>
        <v>1733.93</v>
      </c>
      <c r="C82" s="65">
        <f>D19</f>
        <v>208.07159999999999</v>
      </c>
      <c r="D82" s="89">
        <v>0</v>
      </c>
      <c r="E82" s="65">
        <f t="shared" si="8"/>
        <v>520.17899999999997</v>
      </c>
      <c r="F82" s="65">
        <f>D56</f>
        <v>375.68483333333336</v>
      </c>
      <c r="G82" s="89">
        <f t="shared" si="9"/>
        <v>35.860824999999998</v>
      </c>
      <c r="H82" s="162">
        <f t="shared" si="10"/>
        <v>2873.7262583333336</v>
      </c>
    </row>
    <row r="84" spans="1:8" ht="24" customHeight="1" x14ac:dyDescent="0.3">
      <c r="A84" s="378" t="s">
        <v>127</v>
      </c>
      <c r="B84" s="378"/>
      <c r="C84" s="378"/>
      <c r="D84" s="378"/>
      <c r="E84" s="378"/>
      <c r="F84" s="378"/>
      <c r="G84" s="378"/>
      <c r="H84" s="378"/>
    </row>
    <row r="86" spans="1:8" ht="24" customHeight="1" x14ac:dyDescent="0.3">
      <c r="A86" s="380" t="s">
        <v>130</v>
      </c>
      <c r="B86" s="381"/>
      <c r="C86" s="381"/>
      <c r="D86" s="381"/>
      <c r="E86" s="381"/>
      <c r="F86" s="381"/>
      <c r="G86" s="381"/>
      <c r="H86" s="381"/>
    </row>
    <row r="87" spans="1:8" ht="24" customHeight="1" thickBot="1" x14ac:dyDescent="0.35"/>
    <row r="88" spans="1:8" ht="27.75" customHeight="1" thickBot="1" x14ac:dyDescent="0.35">
      <c r="A88" s="377" t="s">
        <v>134</v>
      </c>
      <c r="B88" s="371"/>
      <c r="C88" s="371"/>
      <c r="D88" s="372"/>
      <c r="E88" s="92"/>
    </row>
    <row r="89" spans="1:8" ht="31.8" thickBot="1" x14ac:dyDescent="0.35">
      <c r="A89" s="12" t="s">
        <v>3</v>
      </c>
      <c r="B89" s="13" t="s">
        <v>1</v>
      </c>
      <c r="C89" s="15" t="s">
        <v>129</v>
      </c>
      <c r="D89" s="14" t="s">
        <v>4</v>
      </c>
    </row>
    <row r="90" spans="1:8" ht="24" customHeight="1" x14ac:dyDescent="0.3">
      <c r="A90" s="3" t="s">
        <v>235</v>
      </c>
      <c r="B90" s="5">
        <f t="shared" ref="B90:B97" si="12">H75</f>
        <v>2284.8468499999999</v>
      </c>
      <c r="C90" s="81">
        <f>1/12</f>
        <v>8.3333333333333329E-2</v>
      </c>
      <c r="D90" s="7">
        <f t="shared" ref="D90:D97" si="13">B90*C90</f>
        <v>190.40390416666665</v>
      </c>
    </row>
    <row r="91" spans="1:8" ht="24" customHeight="1" thickBot="1" x14ac:dyDescent="0.35">
      <c r="A91" s="2" t="s">
        <v>238</v>
      </c>
      <c r="B91" s="6">
        <f t="shared" si="12"/>
        <v>2665.6546583333334</v>
      </c>
      <c r="C91" s="79">
        <f t="shared" ref="C91:C97" si="14">1/12</f>
        <v>8.3333333333333329E-2</v>
      </c>
      <c r="D91" s="8">
        <f t="shared" si="13"/>
        <v>222.13788819444443</v>
      </c>
    </row>
    <row r="92" spans="1:8" ht="24" customHeight="1" x14ac:dyDescent="0.3">
      <c r="A92" s="1" t="s">
        <v>352</v>
      </c>
      <c r="B92" s="5">
        <f t="shared" si="12"/>
        <v>2492.9184500000001</v>
      </c>
      <c r="C92" s="81">
        <f>1/12</f>
        <v>8.3333333333333329E-2</v>
      </c>
      <c r="D92" s="7">
        <f t="shared" si="13"/>
        <v>207.74320416666666</v>
      </c>
    </row>
    <row r="93" spans="1:8" ht="24" customHeight="1" thickBot="1" x14ac:dyDescent="0.35">
      <c r="A93" s="2" t="s">
        <v>374</v>
      </c>
      <c r="B93" s="6">
        <f t="shared" si="12"/>
        <v>2873.7262583333336</v>
      </c>
      <c r="C93" s="79">
        <f t="shared" si="14"/>
        <v>8.3333333333333329E-2</v>
      </c>
      <c r="D93" s="8">
        <f t="shared" si="13"/>
        <v>239.47718819444447</v>
      </c>
    </row>
    <row r="94" spans="1:8" ht="24" customHeight="1" x14ac:dyDescent="0.3">
      <c r="A94" s="1" t="s">
        <v>353</v>
      </c>
      <c r="B94" s="5">
        <f t="shared" si="12"/>
        <v>2492.9184500000001</v>
      </c>
      <c r="C94" s="81">
        <f>1/12</f>
        <v>8.3333333333333329E-2</v>
      </c>
      <c r="D94" s="7">
        <f t="shared" ref="D94:D95" si="15">B94*C94</f>
        <v>207.74320416666666</v>
      </c>
    </row>
    <row r="95" spans="1:8" ht="24" customHeight="1" thickBot="1" x14ac:dyDescent="0.35">
      <c r="A95" s="2" t="s">
        <v>375</v>
      </c>
      <c r="B95" s="6">
        <f t="shared" si="12"/>
        <v>2873.7262583333336</v>
      </c>
      <c r="C95" s="79">
        <f t="shared" si="14"/>
        <v>8.3333333333333329E-2</v>
      </c>
      <c r="D95" s="8">
        <f t="shared" si="15"/>
        <v>239.47718819444447</v>
      </c>
    </row>
    <row r="96" spans="1:8" ht="24" customHeight="1" x14ac:dyDescent="0.3">
      <c r="A96" s="1" t="s">
        <v>236</v>
      </c>
      <c r="B96" s="5">
        <f t="shared" si="12"/>
        <v>2492.9184500000001</v>
      </c>
      <c r="C96" s="81">
        <f t="shared" si="14"/>
        <v>8.3333333333333329E-2</v>
      </c>
      <c r="D96" s="7">
        <f t="shared" si="13"/>
        <v>207.74320416666666</v>
      </c>
    </row>
    <row r="97" spans="1:5" ht="24" customHeight="1" thickBot="1" x14ac:dyDescent="0.35">
      <c r="A97" s="2" t="s">
        <v>237</v>
      </c>
      <c r="B97" s="65">
        <f t="shared" si="12"/>
        <v>2873.7262583333336</v>
      </c>
      <c r="C97" s="80">
        <f t="shared" si="14"/>
        <v>8.3333333333333329E-2</v>
      </c>
      <c r="D97" s="67">
        <f t="shared" si="13"/>
        <v>239.47718819444447</v>
      </c>
    </row>
    <row r="98" spans="1:5" ht="24" customHeight="1" thickBot="1" x14ac:dyDescent="0.35"/>
    <row r="99" spans="1:5" ht="28.5" customHeight="1" thickBot="1" x14ac:dyDescent="0.35">
      <c r="A99" s="377" t="s">
        <v>135</v>
      </c>
      <c r="B99" s="371"/>
      <c r="C99" s="371"/>
      <c r="D99" s="372"/>
    </row>
    <row r="100" spans="1:5" ht="31.8" thickBot="1" x14ac:dyDescent="0.35">
      <c r="A100" s="12" t="s">
        <v>3</v>
      </c>
      <c r="B100" s="13" t="s">
        <v>1</v>
      </c>
      <c r="C100" s="15" t="s">
        <v>129</v>
      </c>
      <c r="D100" s="14" t="s">
        <v>4</v>
      </c>
    </row>
    <row r="101" spans="1:5" ht="24" customHeight="1" x14ac:dyDescent="0.3">
      <c r="A101" s="3" t="s">
        <v>235</v>
      </c>
      <c r="B101" s="5">
        <f>H75</f>
        <v>2284.8468499999999</v>
      </c>
      <c r="C101" s="81">
        <f>1/12</f>
        <v>8.3333333333333329E-2</v>
      </c>
      <c r="D101" s="7">
        <f t="shared" ref="D101:D108" si="16">B101*C101</f>
        <v>190.40390416666665</v>
      </c>
    </row>
    <row r="102" spans="1:5" ht="24" customHeight="1" thickBot="1" x14ac:dyDescent="0.35">
      <c r="A102" s="2" t="s">
        <v>238</v>
      </c>
      <c r="B102" s="6">
        <f>H76</f>
        <v>2665.6546583333334</v>
      </c>
      <c r="C102" s="79">
        <f t="shared" ref="C102:C108" si="17">1/12</f>
        <v>8.3333333333333329E-2</v>
      </c>
      <c r="D102" s="8">
        <f t="shared" si="16"/>
        <v>222.13788819444443</v>
      </c>
    </row>
    <row r="103" spans="1:5" ht="24" customHeight="1" x14ac:dyDescent="0.3">
      <c r="A103" s="1" t="s">
        <v>352</v>
      </c>
      <c r="B103" s="5">
        <f>H77</f>
        <v>2492.9184500000001</v>
      </c>
      <c r="C103" s="81">
        <f>1/12</f>
        <v>8.3333333333333329E-2</v>
      </c>
      <c r="D103" s="7">
        <f t="shared" si="16"/>
        <v>207.74320416666666</v>
      </c>
    </row>
    <row r="104" spans="1:5" ht="24" customHeight="1" thickBot="1" x14ac:dyDescent="0.35">
      <c r="A104" s="2" t="s">
        <v>374</v>
      </c>
      <c r="B104" s="6">
        <f>H77</f>
        <v>2492.9184500000001</v>
      </c>
      <c r="C104" s="79">
        <f t="shared" si="17"/>
        <v>8.3333333333333329E-2</v>
      </c>
      <c r="D104" s="8">
        <f t="shared" si="16"/>
        <v>207.74320416666666</v>
      </c>
    </row>
    <row r="105" spans="1:5" ht="24" customHeight="1" x14ac:dyDescent="0.3">
      <c r="A105" s="1" t="s">
        <v>353</v>
      </c>
      <c r="B105" s="5">
        <f>H79</f>
        <v>2492.9184500000001</v>
      </c>
      <c r="C105" s="81">
        <f>1/12</f>
        <v>8.3333333333333329E-2</v>
      </c>
      <c r="D105" s="7">
        <f t="shared" ref="D105:D106" si="18">B105*C105</f>
        <v>207.74320416666666</v>
      </c>
    </row>
    <row r="106" spans="1:5" ht="24" customHeight="1" thickBot="1" x14ac:dyDescent="0.35">
      <c r="A106" s="2" t="s">
        <v>375</v>
      </c>
      <c r="B106" s="6">
        <f>H79</f>
        <v>2492.9184500000001</v>
      </c>
      <c r="C106" s="79">
        <f t="shared" si="17"/>
        <v>8.3333333333333329E-2</v>
      </c>
      <c r="D106" s="8">
        <f t="shared" si="18"/>
        <v>207.74320416666666</v>
      </c>
    </row>
    <row r="107" spans="1:5" ht="24" customHeight="1" x14ac:dyDescent="0.3">
      <c r="A107" s="1" t="s">
        <v>236</v>
      </c>
      <c r="B107" s="5">
        <f>H81</f>
        <v>2492.9184500000001</v>
      </c>
      <c r="C107" s="81">
        <f t="shared" si="17"/>
        <v>8.3333333333333329E-2</v>
      </c>
      <c r="D107" s="7">
        <f t="shared" si="16"/>
        <v>207.74320416666666</v>
      </c>
    </row>
    <row r="108" spans="1:5" ht="24" customHeight="1" thickBot="1" x14ac:dyDescent="0.35">
      <c r="A108" s="2" t="s">
        <v>237</v>
      </c>
      <c r="B108" s="65">
        <f>H82</f>
        <v>2873.7262583333336</v>
      </c>
      <c r="C108" s="80">
        <f t="shared" si="17"/>
        <v>8.3333333333333329E-2</v>
      </c>
      <c r="D108" s="67">
        <f t="shared" si="16"/>
        <v>239.47718819444447</v>
      </c>
    </row>
    <row r="109" spans="1:5" ht="24" customHeight="1" thickBot="1" x14ac:dyDescent="0.35"/>
    <row r="110" spans="1:5" ht="24" customHeight="1" thickBot="1" x14ac:dyDescent="0.35">
      <c r="A110" s="377" t="s">
        <v>13</v>
      </c>
      <c r="B110" s="371"/>
      <c r="C110" s="371"/>
      <c r="D110" s="371"/>
      <c r="E110" s="372"/>
    </row>
    <row r="111" spans="1:5" ht="31.8" thickBot="1" x14ac:dyDescent="0.35">
      <c r="A111" s="12" t="s">
        <v>3</v>
      </c>
      <c r="B111" s="13" t="s">
        <v>1</v>
      </c>
      <c r="C111" s="15" t="s">
        <v>14</v>
      </c>
      <c r="D111" s="15" t="s">
        <v>129</v>
      </c>
      <c r="E111" s="14" t="s">
        <v>4</v>
      </c>
    </row>
    <row r="112" spans="1:5" ht="24" customHeight="1" x14ac:dyDescent="0.3">
      <c r="A112" s="3" t="s">
        <v>235</v>
      </c>
      <c r="B112" s="5">
        <f t="shared" ref="B112:B119" si="19">H75</f>
        <v>2284.8468499999999</v>
      </c>
      <c r="C112" s="76">
        <f>1/3</f>
        <v>0.33333333333333331</v>
      </c>
      <c r="D112" s="81">
        <f>1/12</f>
        <v>8.3333333333333329E-2</v>
      </c>
      <c r="E112" s="7">
        <f t="shared" ref="E112:E119" si="20">B112*C112*D112</f>
        <v>63.467968055555545</v>
      </c>
    </row>
    <row r="113" spans="1:5" ht="24" customHeight="1" thickBot="1" x14ac:dyDescent="0.35">
      <c r="A113" s="2" t="s">
        <v>238</v>
      </c>
      <c r="B113" s="6">
        <f t="shared" si="19"/>
        <v>2665.6546583333334</v>
      </c>
      <c r="C113" s="82">
        <f t="shared" ref="C113:C119" si="21">1/3</f>
        <v>0.33333333333333331</v>
      </c>
      <c r="D113" s="79">
        <f t="shared" ref="D113:D119" si="22">1/12</f>
        <v>8.3333333333333329E-2</v>
      </c>
      <c r="E113" s="8">
        <f t="shared" si="20"/>
        <v>74.045962731481467</v>
      </c>
    </row>
    <row r="114" spans="1:5" ht="24" customHeight="1" x14ac:dyDescent="0.3">
      <c r="A114" s="1" t="s">
        <v>352</v>
      </c>
      <c r="B114" s="5">
        <f t="shared" si="19"/>
        <v>2492.9184500000001</v>
      </c>
      <c r="C114" s="76">
        <f>1/3</f>
        <v>0.33333333333333331</v>
      </c>
      <c r="D114" s="81">
        <f>1/12</f>
        <v>8.3333333333333329E-2</v>
      </c>
      <c r="E114" s="7">
        <f t="shared" si="20"/>
        <v>69.247734722222219</v>
      </c>
    </row>
    <row r="115" spans="1:5" ht="24" customHeight="1" thickBot="1" x14ac:dyDescent="0.35">
      <c r="A115" s="2" t="s">
        <v>374</v>
      </c>
      <c r="B115" s="6">
        <f t="shared" si="19"/>
        <v>2873.7262583333336</v>
      </c>
      <c r="C115" s="82">
        <f t="shared" si="21"/>
        <v>0.33333333333333331</v>
      </c>
      <c r="D115" s="79">
        <f t="shared" si="22"/>
        <v>8.3333333333333329E-2</v>
      </c>
      <c r="E115" s="8">
        <f t="shared" si="20"/>
        <v>79.825729398148155</v>
      </c>
    </row>
    <row r="116" spans="1:5" ht="24" customHeight="1" x14ac:dyDescent="0.3">
      <c r="A116" s="1" t="s">
        <v>353</v>
      </c>
      <c r="B116" s="5">
        <f t="shared" si="19"/>
        <v>2492.9184500000001</v>
      </c>
      <c r="C116" s="76">
        <f>1/3</f>
        <v>0.33333333333333331</v>
      </c>
      <c r="D116" s="81">
        <f>1/12</f>
        <v>8.3333333333333329E-2</v>
      </c>
      <c r="E116" s="7">
        <f t="shared" ref="E116:E117" si="23">B116*C116*D116</f>
        <v>69.247734722222219</v>
      </c>
    </row>
    <row r="117" spans="1:5" ht="24" customHeight="1" thickBot="1" x14ac:dyDescent="0.35">
      <c r="A117" s="2" t="s">
        <v>375</v>
      </c>
      <c r="B117" s="6">
        <f t="shared" si="19"/>
        <v>2873.7262583333336</v>
      </c>
      <c r="C117" s="82">
        <f t="shared" si="21"/>
        <v>0.33333333333333331</v>
      </c>
      <c r="D117" s="79">
        <f t="shared" si="22"/>
        <v>8.3333333333333329E-2</v>
      </c>
      <c r="E117" s="8">
        <f t="shared" si="23"/>
        <v>79.825729398148155</v>
      </c>
    </row>
    <row r="118" spans="1:5" ht="24" customHeight="1" x14ac:dyDescent="0.3">
      <c r="A118" s="1" t="s">
        <v>236</v>
      </c>
      <c r="B118" s="5">
        <f t="shared" si="19"/>
        <v>2492.9184500000001</v>
      </c>
      <c r="C118" s="76">
        <f t="shared" si="21"/>
        <v>0.33333333333333331</v>
      </c>
      <c r="D118" s="81">
        <f t="shared" si="22"/>
        <v>8.3333333333333329E-2</v>
      </c>
      <c r="E118" s="7">
        <f t="shared" si="20"/>
        <v>69.247734722222219</v>
      </c>
    </row>
    <row r="119" spans="1:5" ht="24" customHeight="1" thickBot="1" x14ac:dyDescent="0.35">
      <c r="A119" s="2" t="s">
        <v>237</v>
      </c>
      <c r="B119" s="65">
        <f t="shared" si="19"/>
        <v>2873.7262583333336</v>
      </c>
      <c r="C119" s="77">
        <f t="shared" si="21"/>
        <v>0.33333333333333331</v>
      </c>
      <c r="D119" s="80">
        <f t="shared" si="22"/>
        <v>8.3333333333333329E-2</v>
      </c>
      <c r="E119" s="67">
        <f t="shared" si="20"/>
        <v>79.825729398148155</v>
      </c>
    </row>
    <row r="120" spans="1:5" ht="24" customHeight="1" thickBot="1" x14ac:dyDescent="0.35"/>
    <row r="121" spans="1:5" ht="24" customHeight="1" thickBot="1" x14ac:dyDescent="0.35">
      <c r="A121" s="373" t="s">
        <v>130</v>
      </c>
      <c r="B121" s="374"/>
      <c r="C121" s="374"/>
      <c r="D121" s="374"/>
      <c r="E121" s="375"/>
    </row>
    <row r="122" spans="1:5" ht="24" customHeight="1" thickBot="1" x14ac:dyDescent="0.35">
      <c r="A122" s="12" t="s">
        <v>3</v>
      </c>
      <c r="B122" s="13" t="s">
        <v>126</v>
      </c>
      <c r="C122" s="13" t="s">
        <v>125</v>
      </c>
      <c r="D122" s="13" t="s">
        <v>15</v>
      </c>
      <c r="E122" s="14" t="s">
        <v>12</v>
      </c>
    </row>
    <row r="123" spans="1:5" ht="24" customHeight="1" x14ac:dyDescent="0.3">
      <c r="A123" s="3" t="s">
        <v>235</v>
      </c>
      <c r="B123" s="5">
        <f t="shared" ref="B123:B130" si="24">D90</f>
        <v>190.40390416666665</v>
      </c>
      <c r="C123" s="5">
        <f t="shared" ref="C123:C130" si="25">D101</f>
        <v>190.40390416666665</v>
      </c>
      <c r="D123" s="5">
        <f t="shared" ref="D123:D130" si="26">E112</f>
        <v>63.467968055555545</v>
      </c>
      <c r="E123" s="7">
        <f t="shared" ref="E123:E130" si="27">SUM(B123:D123)</f>
        <v>444.27577638888886</v>
      </c>
    </row>
    <row r="124" spans="1:5" ht="24" customHeight="1" thickBot="1" x14ac:dyDescent="0.35">
      <c r="A124" s="2" t="s">
        <v>238</v>
      </c>
      <c r="B124" s="6">
        <f t="shared" si="24"/>
        <v>222.13788819444443</v>
      </c>
      <c r="C124" s="6">
        <f t="shared" si="25"/>
        <v>222.13788819444443</v>
      </c>
      <c r="D124" s="6">
        <f t="shared" si="26"/>
        <v>74.045962731481467</v>
      </c>
      <c r="E124" s="8">
        <f t="shared" si="27"/>
        <v>518.32173912037035</v>
      </c>
    </row>
    <row r="125" spans="1:5" ht="24" customHeight="1" x14ac:dyDescent="0.3">
      <c r="A125" s="1" t="s">
        <v>352</v>
      </c>
      <c r="B125" s="5">
        <f t="shared" si="24"/>
        <v>207.74320416666666</v>
      </c>
      <c r="C125" s="5">
        <f t="shared" si="25"/>
        <v>207.74320416666666</v>
      </c>
      <c r="D125" s="5">
        <f t="shared" si="26"/>
        <v>69.247734722222219</v>
      </c>
      <c r="E125" s="7">
        <f t="shared" ref="E125:E126" si="28">SUM(B125:D125)</f>
        <v>484.73414305555553</v>
      </c>
    </row>
    <row r="126" spans="1:5" ht="24" customHeight="1" thickBot="1" x14ac:dyDescent="0.35">
      <c r="A126" s="2" t="s">
        <v>374</v>
      </c>
      <c r="B126" s="6">
        <f t="shared" si="24"/>
        <v>239.47718819444447</v>
      </c>
      <c r="C126" s="6">
        <f t="shared" si="25"/>
        <v>207.74320416666666</v>
      </c>
      <c r="D126" s="6">
        <f t="shared" si="26"/>
        <v>79.825729398148155</v>
      </c>
      <c r="E126" s="8">
        <f t="shared" si="28"/>
        <v>527.04612175925922</v>
      </c>
    </row>
    <row r="127" spans="1:5" ht="24" customHeight="1" x14ac:dyDescent="0.3">
      <c r="A127" s="1" t="s">
        <v>353</v>
      </c>
      <c r="B127" s="5">
        <f t="shared" si="24"/>
        <v>207.74320416666666</v>
      </c>
      <c r="C127" s="5">
        <f t="shared" si="25"/>
        <v>207.74320416666666</v>
      </c>
      <c r="D127" s="5">
        <f t="shared" si="26"/>
        <v>69.247734722222219</v>
      </c>
      <c r="E127" s="7">
        <f t="shared" ref="E127:E128" si="29">SUM(B127:D127)</f>
        <v>484.73414305555553</v>
      </c>
    </row>
    <row r="128" spans="1:5" ht="24" customHeight="1" thickBot="1" x14ac:dyDescent="0.35">
      <c r="A128" s="2" t="s">
        <v>375</v>
      </c>
      <c r="B128" s="6">
        <f t="shared" si="24"/>
        <v>239.47718819444447</v>
      </c>
      <c r="C128" s="6">
        <f t="shared" si="25"/>
        <v>207.74320416666666</v>
      </c>
      <c r="D128" s="6">
        <f t="shared" si="26"/>
        <v>79.825729398148155</v>
      </c>
      <c r="E128" s="8">
        <f t="shared" si="29"/>
        <v>527.04612175925922</v>
      </c>
    </row>
    <row r="129" spans="1:8" ht="24" customHeight="1" x14ac:dyDescent="0.3">
      <c r="A129" s="1" t="s">
        <v>236</v>
      </c>
      <c r="B129" s="5">
        <f t="shared" si="24"/>
        <v>207.74320416666666</v>
      </c>
      <c r="C129" s="5">
        <f t="shared" si="25"/>
        <v>207.74320416666666</v>
      </c>
      <c r="D129" s="5">
        <f t="shared" si="26"/>
        <v>69.247734722222219</v>
      </c>
      <c r="E129" s="7">
        <f t="shared" si="27"/>
        <v>484.73414305555553</v>
      </c>
    </row>
    <row r="130" spans="1:8" ht="24" customHeight="1" thickBot="1" x14ac:dyDescent="0.35">
      <c r="A130" s="2" t="s">
        <v>237</v>
      </c>
      <c r="B130" s="65">
        <f t="shared" si="24"/>
        <v>239.47718819444447</v>
      </c>
      <c r="C130" s="65">
        <f t="shared" si="25"/>
        <v>239.47718819444447</v>
      </c>
      <c r="D130" s="65">
        <f t="shared" si="26"/>
        <v>79.825729398148155</v>
      </c>
      <c r="E130" s="67">
        <f t="shared" si="27"/>
        <v>558.78010578703709</v>
      </c>
    </row>
    <row r="132" spans="1:8" ht="24" customHeight="1" x14ac:dyDescent="0.3">
      <c r="A132" s="380" t="s">
        <v>17</v>
      </c>
      <c r="B132" s="381"/>
      <c r="C132" s="381"/>
      <c r="D132" s="381"/>
      <c r="E132" s="381"/>
      <c r="F132" s="381"/>
      <c r="G132" s="381"/>
      <c r="H132" s="381"/>
    </row>
    <row r="133" spans="1:8" ht="24" customHeight="1" x14ac:dyDescent="0.3">
      <c r="A133" s="379" t="s">
        <v>224</v>
      </c>
      <c r="B133" s="379"/>
      <c r="C133" s="379"/>
      <c r="D133" s="379"/>
      <c r="E133" s="379"/>
      <c r="F133" s="379"/>
      <c r="G133" s="379"/>
      <c r="H133" s="379"/>
    </row>
    <row r="134" spans="1:8" ht="24" customHeight="1" thickBot="1" x14ac:dyDescent="0.35"/>
    <row r="135" spans="1:8" ht="24" customHeight="1" thickBot="1" x14ac:dyDescent="0.35">
      <c r="A135" s="373" t="s">
        <v>18</v>
      </c>
      <c r="B135" s="375"/>
    </row>
    <row r="136" spans="1:8" ht="24" customHeight="1" thickBot="1" x14ac:dyDescent="0.35">
      <c r="A136" s="12" t="s">
        <v>19</v>
      </c>
      <c r="B136" s="14" t="s">
        <v>2</v>
      </c>
    </row>
    <row r="137" spans="1:8" ht="24" customHeight="1" x14ac:dyDescent="0.3">
      <c r="A137" s="3" t="s">
        <v>20</v>
      </c>
      <c r="B137" s="17">
        <v>0.2</v>
      </c>
    </row>
    <row r="138" spans="1:8" ht="24" customHeight="1" x14ac:dyDescent="0.3">
      <c r="A138" s="4" t="s">
        <v>21</v>
      </c>
      <c r="B138" s="16">
        <v>2.5000000000000001E-2</v>
      </c>
    </row>
    <row r="139" spans="1:8" ht="24" customHeight="1" x14ac:dyDescent="0.3">
      <c r="A139" s="4" t="s">
        <v>22</v>
      </c>
      <c r="B139" s="118">
        <v>0.06</v>
      </c>
    </row>
    <row r="140" spans="1:8" ht="24" customHeight="1" x14ac:dyDescent="0.3">
      <c r="A140" s="4" t="s">
        <v>23</v>
      </c>
      <c r="B140" s="16">
        <v>1.4999999999999999E-2</v>
      </c>
    </row>
    <row r="141" spans="1:8" ht="24" customHeight="1" x14ac:dyDescent="0.3">
      <c r="A141" s="4" t="s">
        <v>24</v>
      </c>
      <c r="B141" s="16">
        <v>0.01</v>
      </c>
    </row>
    <row r="142" spans="1:8" ht="24" customHeight="1" x14ac:dyDescent="0.3">
      <c r="A142" s="4" t="s">
        <v>25</v>
      </c>
      <c r="B142" s="16">
        <v>6.0000000000000001E-3</v>
      </c>
    </row>
    <row r="143" spans="1:8" ht="24" customHeight="1" x14ac:dyDescent="0.3">
      <c r="A143" s="4" t="s">
        <v>26</v>
      </c>
      <c r="B143" s="16">
        <v>2E-3</v>
      </c>
    </row>
    <row r="144" spans="1:8" ht="24" customHeight="1" thickBot="1" x14ac:dyDescent="0.35">
      <c r="A144" s="2" t="s">
        <v>27</v>
      </c>
      <c r="B144" s="18">
        <v>0.08</v>
      </c>
    </row>
    <row r="145" spans="1:4" ht="24" customHeight="1" thickBot="1" x14ac:dyDescent="0.35">
      <c r="A145" s="124" t="s">
        <v>28</v>
      </c>
      <c r="B145" s="125">
        <f>SUM(B137:B144)</f>
        <v>0.39800000000000008</v>
      </c>
    </row>
    <row r="146" spans="1:4" ht="24" customHeight="1" thickBot="1" x14ac:dyDescent="0.35"/>
    <row r="147" spans="1:4" ht="24" customHeight="1" thickBot="1" x14ac:dyDescent="0.35">
      <c r="A147" s="373" t="s">
        <v>29</v>
      </c>
      <c r="B147" s="374"/>
      <c r="C147" s="374"/>
      <c r="D147" s="375"/>
    </row>
    <row r="148" spans="1:4" ht="24" customHeight="1" thickBot="1" x14ac:dyDescent="0.35">
      <c r="A148" s="12" t="s">
        <v>3</v>
      </c>
      <c r="B148" s="13" t="s">
        <v>1</v>
      </c>
      <c r="C148" s="13" t="s">
        <v>2</v>
      </c>
      <c r="D148" s="14" t="s">
        <v>4</v>
      </c>
    </row>
    <row r="149" spans="1:4" ht="24" customHeight="1" x14ac:dyDescent="0.3">
      <c r="A149" s="3" t="s">
        <v>235</v>
      </c>
      <c r="B149" s="5">
        <f t="shared" ref="B149:B156" si="30">H75+E123</f>
        <v>2729.1226263888889</v>
      </c>
      <c r="C149" s="126">
        <f>SUM($B$137:$B$143)</f>
        <v>0.31800000000000006</v>
      </c>
      <c r="D149" s="7">
        <f t="shared" ref="D149:D156" si="31">B149*C149</f>
        <v>867.8609951916668</v>
      </c>
    </row>
    <row r="150" spans="1:4" ht="24" customHeight="1" thickBot="1" x14ac:dyDescent="0.35">
      <c r="A150" s="2" t="s">
        <v>238</v>
      </c>
      <c r="B150" s="6">
        <f t="shared" si="30"/>
        <v>3183.9763974537036</v>
      </c>
      <c r="C150" s="127">
        <f t="shared" ref="C150:C156" si="32">SUM($B$137:$B$143)</f>
        <v>0.31800000000000006</v>
      </c>
      <c r="D150" s="8">
        <f t="shared" si="31"/>
        <v>1012.504494390278</v>
      </c>
    </row>
    <row r="151" spans="1:4" ht="24" customHeight="1" x14ac:dyDescent="0.3">
      <c r="A151" s="1" t="s">
        <v>352</v>
      </c>
      <c r="B151" s="5">
        <f t="shared" si="30"/>
        <v>2977.6525930555558</v>
      </c>
      <c r="C151" s="126">
        <f>SUM($B$137:$B$143)</f>
        <v>0.31800000000000006</v>
      </c>
      <c r="D151" s="7">
        <f t="shared" si="31"/>
        <v>946.89352459166696</v>
      </c>
    </row>
    <row r="152" spans="1:4" ht="24" customHeight="1" thickBot="1" x14ac:dyDescent="0.35">
      <c r="A152" s="2" t="s">
        <v>374</v>
      </c>
      <c r="B152" s="6">
        <f t="shared" si="30"/>
        <v>3400.7723800925928</v>
      </c>
      <c r="C152" s="127">
        <f t="shared" si="32"/>
        <v>0.31800000000000006</v>
      </c>
      <c r="D152" s="8">
        <f t="shared" si="31"/>
        <v>1081.4456168694446</v>
      </c>
    </row>
    <row r="153" spans="1:4" ht="24" customHeight="1" x14ac:dyDescent="0.3">
      <c r="A153" s="1" t="s">
        <v>353</v>
      </c>
      <c r="B153" s="5">
        <f t="shared" si="30"/>
        <v>2977.6525930555558</v>
      </c>
      <c r="C153" s="126">
        <f>SUM($B$137:$B$143)</f>
        <v>0.31800000000000006</v>
      </c>
      <c r="D153" s="7">
        <f t="shared" ref="D153:D154" si="33">B153*C153</f>
        <v>946.89352459166696</v>
      </c>
    </row>
    <row r="154" spans="1:4" ht="24" customHeight="1" thickBot="1" x14ac:dyDescent="0.35">
      <c r="A154" s="2" t="s">
        <v>375</v>
      </c>
      <c r="B154" s="6">
        <f t="shared" si="30"/>
        <v>3400.7723800925928</v>
      </c>
      <c r="C154" s="127">
        <f t="shared" si="32"/>
        <v>0.31800000000000006</v>
      </c>
      <c r="D154" s="8">
        <f t="shared" si="33"/>
        <v>1081.4456168694446</v>
      </c>
    </row>
    <row r="155" spans="1:4" ht="24" customHeight="1" x14ac:dyDescent="0.3">
      <c r="A155" s="1" t="s">
        <v>132</v>
      </c>
      <c r="B155" s="5">
        <f t="shared" si="30"/>
        <v>2977.6525930555558</v>
      </c>
      <c r="C155" s="126">
        <f t="shared" si="32"/>
        <v>0.31800000000000006</v>
      </c>
      <c r="D155" s="7">
        <f t="shared" si="31"/>
        <v>946.89352459166696</v>
      </c>
    </row>
    <row r="156" spans="1:4" ht="24" customHeight="1" thickBot="1" x14ac:dyDescent="0.35">
      <c r="A156" s="2" t="s">
        <v>133</v>
      </c>
      <c r="B156" s="65">
        <f t="shared" si="30"/>
        <v>3432.5063641203706</v>
      </c>
      <c r="C156" s="128">
        <f t="shared" si="32"/>
        <v>0.31800000000000006</v>
      </c>
      <c r="D156" s="67">
        <f t="shared" si="31"/>
        <v>1091.537023790278</v>
      </c>
    </row>
    <row r="157" spans="1:4" ht="24" customHeight="1" thickBot="1" x14ac:dyDescent="0.35"/>
    <row r="158" spans="1:4" ht="24" customHeight="1" thickBot="1" x14ac:dyDescent="0.35">
      <c r="A158" s="373" t="s">
        <v>30</v>
      </c>
      <c r="B158" s="374"/>
      <c r="C158" s="374"/>
      <c r="D158" s="375"/>
    </row>
    <row r="159" spans="1:4" ht="24" customHeight="1" thickBot="1" x14ac:dyDescent="0.35">
      <c r="A159" s="12" t="s">
        <v>3</v>
      </c>
      <c r="B159" s="13" t="s">
        <v>1</v>
      </c>
      <c r="C159" s="13" t="s">
        <v>2</v>
      </c>
      <c r="D159" s="14" t="s">
        <v>4</v>
      </c>
    </row>
    <row r="160" spans="1:4" ht="24" customHeight="1" x14ac:dyDescent="0.3">
      <c r="A160" s="3" t="s">
        <v>235</v>
      </c>
      <c r="B160" s="5">
        <f t="shared" ref="B160:B167" si="34">H75+E123</f>
        <v>2729.1226263888889</v>
      </c>
      <c r="C160" s="81">
        <f>$B$144</f>
        <v>0.08</v>
      </c>
      <c r="D160" s="7">
        <f t="shared" ref="D160:D167" si="35">B160*C160</f>
        <v>218.3298101111111</v>
      </c>
    </row>
    <row r="161" spans="1:4" ht="24" customHeight="1" thickBot="1" x14ac:dyDescent="0.35">
      <c r="A161" s="2" t="s">
        <v>238</v>
      </c>
      <c r="B161" s="6">
        <f t="shared" si="34"/>
        <v>3183.9763974537036</v>
      </c>
      <c r="C161" s="79">
        <f t="shared" ref="C161:C167" si="36">$B$144</f>
        <v>0.08</v>
      </c>
      <c r="D161" s="8">
        <f t="shared" si="35"/>
        <v>254.71811179629628</v>
      </c>
    </row>
    <row r="162" spans="1:4" ht="24" customHeight="1" x14ac:dyDescent="0.3">
      <c r="A162" s="1" t="s">
        <v>352</v>
      </c>
      <c r="B162" s="5">
        <f t="shared" si="34"/>
        <v>2977.6525930555558</v>
      </c>
      <c r="C162" s="81">
        <f>$B$144</f>
        <v>0.08</v>
      </c>
      <c r="D162" s="7">
        <f t="shared" si="35"/>
        <v>238.21220744444446</v>
      </c>
    </row>
    <row r="163" spans="1:4" ht="24" customHeight="1" thickBot="1" x14ac:dyDescent="0.35">
      <c r="A163" s="2" t="s">
        <v>374</v>
      </c>
      <c r="B163" s="6">
        <f t="shared" si="34"/>
        <v>3400.7723800925928</v>
      </c>
      <c r="C163" s="79">
        <f t="shared" si="36"/>
        <v>0.08</v>
      </c>
      <c r="D163" s="8">
        <f t="shared" si="35"/>
        <v>272.06179040740744</v>
      </c>
    </row>
    <row r="164" spans="1:4" ht="24" customHeight="1" x14ac:dyDescent="0.3">
      <c r="A164" s="1" t="s">
        <v>353</v>
      </c>
      <c r="B164" s="5">
        <f t="shared" si="34"/>
        <v>2977.6525930555558</v>
      </c>
      <c r="C164" s="81">
        <f>$B$144</f>
        <v>0.08</v>
      </c>
      <c r="D164" s="7">
        <f t="shared" ref="D164:D165" si="37">B164*C164</f>
        <v>238.21220744444446</v>
      </c>
    </row>
    <row r="165" spans="1:4" ht="24" customHeight="1" thickBot="1" x14ac:dyDescent="0.35">
      <c r="A165" s="2" t="s">
        <v>375</v>
      </c>
      <c r="B165" s="6">
        <f t="shared" si="34"/>
        <v>3400.7723800925928</v>
      </c>
      <c r="C165" s="79">
        <f t="shared" si="36"/>
        <v>0.08</v>
      </c>
      <c r="D165" s="8">
        <f t="shared" si="37"/>
        <v>272.06179040740744</v>
      </c>
    </row>
    <row r="166" spans="1:4" ht="24" customHeight="1" x14ac:dyDescent="0.3">
      <c r="A166" s="1" t="s">
        <v>236</v>
      </c>
      <c r="B166" s="5">
        <f t="shared" si="34"/>
        <v>2977.6525930555558</v>
      </c>
      <c r="C166" s="81">
        <f t="shared" si="36"/>
        <v>0.08</v>
      </c>
      <c r="D166" s="7">
        <f t="shared" si="35"/>
        <v>238.21220744444446</v>
      </c>
    </row>
    <row r="167" spans="1:4" ht="24" customHeight="1" thickBot="1" x14ac:dyDescent="0.35">
      <c r="A167" s="2" t="s">
        <v>237</v>
      </c>
      <c r="B167" s="65">
        <f t="shared" si="34"/>
        <v>3432.5063641203706</v>
      </c>
      <c r="C167" s="80">
        <f t="shared" si="36"/>
        <v>0.08</v>
      </c>
      <c r="D167" s="67">
        <f t="shared" si="35"/>
        <v>274.60050912962964</v>
      </c>
    </row>
    <row r="168" spans="1:4" ht="24" customHeight="1" thickBot="1" x14ac:dyDescent="0.35"/>
    <row r="169" spans="1:4" ht="24" customHeight="1" thickBot="1" x14ac:dyDescent="0.35">
      <c r="A169" s="373" t="s">
        <v>17</v>
      </c>
      <c r="B169" s="374"/>
      <c r="C169" s="374"/>
      <c r="D169" s="375"/>
    </row>
    <row r="170" spans="1:4" ht="24" customHeight="1" thickBot="1" x14ac:dyDescent="0.35">
      <c r="A170" s="12" t="s">
        <v>3</v>
      </c>
      <c r="B170" s="13" t="s">
        <v>31</v>
      </c>
      <c r="C170" s="13" t="s">
        <v>27</v>
      </c>
      <c r="D170" s="14" t="s">
        <v>12</v>
      </c>
    </row>
    <row r="171" spans="1:4" ht="24" customHeight="1" x14ac:dyDescent="0.3">
      <c r="A171" s="3" t="s">
        <v>235</v>
      </c>
      <c r="B171" s="5">
        <f t="shared" ref="B171:B178" si="38">D149</f>
        <v>867.8609951916668</v>
      </c>
      <c r="C171" s="5">
        <f t="shared" ref="C171:C178" si="39">D160</f>
        <v>218.3298101111111</v>
      </c>
      <c r="D171" s="7">
        <f t="shared" ref="D171:D178" si="40">B171+C171</f>
        <v>1086.1908053027778</v>
      </c>
    </row>
    <row r="172" spans="1:4" ht="24" customHeight="1" thickBot="1" x14ac:dyDescent="0.35">
      <c r="A172" s="2" t="s">
        <v>238</v>
      </c>
      <c r="B172" s="6">
        <f t="shared" si="38"/>
        <v>1012.504494390278</v>
      </c>
      <c r="C172" s="6">
        <f t="shared" si="39"/>
        <v>254.71811179629628</v>
      </c>
      <c r="D172" s="8">
        <f t="shared" si="40"/>
        <v>1267.2226061865742</v>
      </c>
    </row>
    <row r="173" spans="1:4" ht="24" customHeight="1" x14ac:dyDescent="0.3">
      <c r="A173" s="1" t="s">
        <v>352</v>
      </c>
      <c r="B173" s="5">
        <f t="shared" si="38"/>
        <v>946.89352459166696</v>
      </c>
      <c r="C173" s="5">
        <f t="shared" si="39"/>
        <v>238.21220744444446</v>
      </c>
      <c r="D173" s="7">
        <f t="shared" si="40"/>
        <v>1185.1057320361115</v>
      </c>
    </row>
    <row r="174" spans="1:4" ht="24" customHeight="1" thickBot="1" x14ac:dyDescent="0.35">
      <c r="A174" s="2" t="s">
        <v>374</v>
      </c>
      <c r="B174" s="6">
        <f t="shared" si="38"/>
        <v>1081.4456168694446</v>
      </c>
      <c r="C174" s="6">
        <f t="shared" si="39"/>
        <v>272.06179040740744</v>
      </c>
      <c r="D174" s="8">
        <f t="shared" si="40"/>
        <v>1353.5074072768521</v>
      </c>
    </row>
    <row r="175" spans="1:4" ht="24" customHeight="1" x14ac:dyDescent="0.3">
      <c r="A175" s="1" t="s">
        <v>353</v>
      </c>
      <c r="B175" s="5">
        <f t="shared" si="38"/>
        <v>946.89352459166696</v>
      </c>
      <c r="C175" s="5">
        <f t="shared" si="39"/>
        <v>238.21220744444446</v>
      </c>
      <c r="D175" s="7">
        <f t="shared" ref="D175:D176" si="41">B175+C175</f>
        <v>1185.1057320361115</v>
      </c>
    </row>
    <row r="176" spans="1:4" ht="24" customHeight="1" thickBot="1" x14ac:dyDescent="0.35">
      <c r="A176" s="2" t="s">
        <v>375</v>
      </c>
      <c r="B176" s="6">
        <f t="shared" si="38"/>
        <v>1081.4456168694446</v>
      </c>
      <c r="C176" s="6">
        <f t="shared" si="39"/>
        <v>272.06179040740744</v>
      </c>
      <c r="D176" s="8">
        <f t="shared" si="41"/>
        <v>1353.5074072768521</v>
      </c>
    </row>
    <row r="177" spans="1:8" ht="24" customHeight="1" x14ac:dyDescent="0.3">
      <c r="A177" s="1" t="s">
        <v>236</v>
      </c>
      <c r="B177" s="5">
        <f t="shared" si="38"/>
        <v>946.89352459166696</v>
      </c>
      <c r="C177" s="5">
        <f t="shared" si="39"/>
        <v>238.21220744444446</v>
      </c>
      <c r="D177" s="7">
        <f t="shared" si="40"/>
        <v>1185.1057320361115</v>
      </c>
    </row>
    <row r="178" spans="1:8" ht="24" customHeight="1" thickBot="1" x14ac:dyDescent="0.35">
      <c r="A178" s="2" t="s">
        <v>237</v>
      </c>
      <c r="B178" s="65">
        <f t="shared" si="38"/>
        <v>1091.537023790278</v>
      </c>
      <c r="C178" s="65">
        <f t="shared" si="39"/>
        <v>274.60050912962964</v>
      </c>
      <c r="D178" s="67">
        <f t="shared" si="40"/>
        <v>1366.1375329199077</v>
      </c>
    </row>
    <row r="180" spans="1:8" ht="24" customHeight="1" x14ac:dyDescent="0.3">
      <c r="A180" s="380" t="s">
        <v>32</v>
      </c>
      <c r="B180" s="381"/>
      <c r="C180" s="381"/>
      <c r="D180" s="381"/>
      <c r="E180" s="381"/>
      <c r="F180" s="381"/>
      <c r="G180" s="381"/>
      <c r="H180" s="381"/>
    </row>
    <row r="182" spans="1:8" ht="24" customHeight="1" x14ac:dyDescent="0.3">
      <c r="A182" s="413" t="s">
        <v>368</v>
      </c>
      <c r="B182" s="413"/>
      <c r="C182" s="413"/>
      <c r="D182" s="413"/>
      <c r="E182" s="413"/>
      <c r="G182" s="90"/>
    </row>
    <row r="183" spans="1:8" ht="24" customHeight="1" thickBot="1" x14ac:dyDescent="0.35"/>
    <row r="184" spans="1:8" ht="24" customHeight="1" thickBot="1" x14ac:dyDescent="0.35">
      <c r="A184" s="373" t="s">
        <v>37</v>
      </c>
      <c r="B184" s="374"/>
      <c r="C184" s="374"/>
      <c r="D184" s="374"/>
      <c r="E184" s="375"/>
    </row>
    <row r="185" spans="1:8" ht="31.8" thickBot="1" x14ac:dyDescent="0.35">
      <c r="A185" s="12" t="s">
        <v>3</v>
      </c>
      <c r="B185" s="13" t="s">
        <v>33</v>
      </c>
      <c r="C185" s="13" t="s">
        <v>34</v>
      </c>
      <c r="D185" s="15" t="s">
        <v>36</v>
      </c>
      <c r="E185" s="14" t="s">
        <v>35</v>
      </c>
    </row>
    <row r="186" spans="1:8" ht="24" customHeight="1" x14ac:dyDescent="0.3">
      <c r="A186" s="3" t="s">
        <v>235</v>
      </c>
      <c r="B186" s="5">
        <v>4.75</v>
      </c>
      <c r="C186" s="19">
        <v>2</v>
      </c>
      <c r="D186" s="19">
        <v>15</v>
      </c>
      <c r="E186" s="7">
        <f t="shared" ref="E186:E193" si="42">B186*C186*D186</f>
        <v>142.5</v>
      </c>
    </row>
    <row r="187" spans="1:8" ht="24" customHeight="1" thickBot="1" x14ac:dyDescent="0.35">
      <c r="A187" s="2" t="s">
        <v>238</v>
      </c>
      <c r="B187" s="6">
        <f>B186</f>
        <v>4.75</v>
      </c>
      <c r="C187" s="20">
        <f t="shared" ref="C187:C191" si="43">C186</f>
        <v>2</v>
      </c>
      <c r="D187" s="20">
        <v>15</v>
      </c>
      <c r="E187" s="8">
        <f t="shared" si="42"/>
        <v>142.5</v>
      </c>
    </row>
    <row r="188" spans="1:8" ht="24" customHeight="1" x14ac:dyDescent="0.3">
      <c r="A188" s="1" t="s">
        <v>352</v>
      </c>
      <c r="B188" s="5">
        <f>B186</f>
        <v>4.75</v>
      </c>
      <c r="C188" s="19">
        <v>2</v>
      </c>
      <c r="D188" s="19">
        <v>15</v>
      </c>
      <c r="E188" s="7">
        <f t="shared" si="42"/>
        <v>142.5</v>
      </c>
    </row>
    <row r="189" spans="1:8" ht="24" customHeight="1" thickBot="1" x14ac:dyDescent="0.35">
      <c r="A189" s="2" t="s">
        <v>374</v>
      </c>
      <c r="B189" s="6">
        <f>B187</f>
        <v>4.75</v>
      </c>
      <c r="C189" s="20">
        <f t="shared" si="43"/>
        <v>2</v>
      </c>
      <c r="D189" s="20">
        <v>15</v>
      </c>
      <c r="E189" s="8">
        <f t="shared" si="42"/>
        <v>142.5</v>
      </c>
    </row>
    <row r="190" spans="1:8" ht="24" customHeight="1" x14ac:dyDescent="0.3">
      <c r="A190" s="1" t="s">
        <v>353</v>
      </c>
      <c r="B190" s="5">
        <v>0</v>
      </c>
      <c r="C190" s="19">
        <v>2</v>
      </c>
      <c r="D190" s="19">
        <v>15</v>
      </c>
      <c r="E190" s="7">
        <f t="shared" ref="E190:E191" si="44">B190*C190*D190</f>
        <v>0</v>
      </c>
    </row>
    <row r="191" spans="1:8" ht="24" customHeight="1" thickBot="1" x14ac:dyDescent="0.35">
      <c r="A191" s="2" t="s">
        <v>375</v>
      </c>
      <c r="B191" s="6">
        <v>0</v>
      </c>
      <c r="C191" s="20">
        <f t="shared" si="43"/>
        <v>2</v>
      </c>
      <c r="D191" s="20">
        <v>15</v>
      </c>
      <c r="E191" s="8">
        <f t="shared" si="44"/>
        <v>0</v>
      </c>
    </row>
    <row r="192" spans="1:8" ht="24" customHeight="1" x14ac:dyDescent="0.3">
      <c r="A192" s="1" t="s">
        <v>236</v>
      </c>
      <c r="B192" s="5">
        <f>B186</f>
        <v>4.75</v>
      </c>
      <c r="C192" s="19">
        <v>2</v>
      </c>
      <c r="D192" s="19">
        <v>15</v>
      </c>
      <c r="E192" s="7">
        <f t="shared" si="42"/>
        <v>142.5</v>
      </c>
    </row>
    <row r="193" spans="1:5" ht="24" customHeight="1" thickBot="1" x14ac:dyDescent="0.35">
      <c r="A193" s="2" t="s">
        <v>237</v>
      </c>
      <c r="B193" s="65">
        <f>B187</f>
        <v>4.75</v>
      </c>
      <c r="C193" s="21">
        <v>2</v>
      </c>
      <c r="D193" s="21">
        <v>15</v>
      </c>
      <c r="E193" s="67">
        <f t="shared" si="42"/>
        <v>142.5</v>
      </c>
    </row>
    <row r="194" spans="1:5" ht="24" customHeight="1" thickBot="1" x14ac:dyDescent="0.35"/>
    <row r="195" spans="1:5" ht="24" customHeight="1" thickBot="1" x14ac:dyDescent="0.35">
      <c r="A195" s="373" t="s">
        <v>41</v>
      </c>
      <c r="B195" s="374"/>
      <c r="C195" s="374"/>
      <c r="D195" s="374"/>
      <c r="E195" s="375"/>
    </row>
    <row r="196" spans="1:5" ht="24" customHeight="1" thickBot="1" x14ac:dyDescent="0.35">
      <c r="A196" s="12" t="s">
        <v>3</v>
      </c>
      <c r="B196" s="13" t="s">
        <v>1</v>
      </c>
      <c r="C196" s="13" t="s">
        <v>38</v>
      </c>
      <c r="D196" s="13" t="s">
        <v>2</v>
      </c>
      <c r="E196" s="14" t="s">
        <v>39</v>
      </c>
    </row>
    <row r="197" spans="1:5" ht="24" customHeight="1" x14ac:dyDescent="0.3">
      <c r="A197" s="3" t="s">
        <v>235</v>
      </c>
      <c r="B197" s="5">
        <f>B11</f>
        <v>1733.93</v>
      </c>
      <c r="C197" s="70">
        <v>0.5</v>
      </c>
      <c r="D197" s="70">
        <v>0.06</v>
      </c>
      <c r="E197" s="7">
        <f t="shared" ref="E197:E204" si="45">B197*C197*D197</f>
        <v>52.017899999999997</v>
      </c>
    </row>
    <row r="198" spans="1:5" ht="24" customHeight="1" thickBot="1" x14ac:dyDescent="0.35">
      <c r="A198" s="2" t="s">
        <v>238</v>
      </c>
      <c r="B198" s="6">
        <f>B11</f>
        <v>1733.93</v>
      </c>
      <c r="C198" s="71">
        <v>0.5</v>
      </c>
      <c r="D198" s="71">
        <v>0.06</v>
      </c>
      <c r="E198" s="8">
        <f t="shared" si="45"/>
        <v>52.017899999999997</v>
      </c>
    </row>
    <row r="199" spans="1:5" ht="24" customHeight="1" x14ac:dyDescent="0.3">
      <c r="A199" s="1" t="s">
        <v>352</v>
      </c>
      <c r="B199" s="5">
        <f>B11</f>
        <v>1733.93</v>
      </c>
      <c r="C199" s="70">
        <v>0.5</v>
      </c>
      <c r="D199" s="70">
        <v>0.06</v>
      </c>
      <c r="E199" s="7">
        <f t="shared" si="45"/>
        <v>52.017899999999997</v>
      </c>
    </row>
    <row r="200" spans="1:5" ht="24" customHeight="1" thickBot="1" x14ac:dyDescent="0.35">
      <c r="A200" s="2" t="s">
        <v>374</v>
      </c>
      <c r="B200" s="6">
        <f>B11</f>
        <v>1733.93</v>
      </c>
      <c r="C200" s="71">
        <v>0.5</v>
      </c>
      <c r="D200" s="71">
        <v>0.06</v>
      </c>
      <c r="E200" s="8">
        <f t="shared" si="45"/>
        <v>52.017899999999997</v>
      </c>
    </row>
    <row r="201" spans="1:5" ht="24" customHeight="1" x14ac:dyDescent="0.3">
      <c r="A201" s="1" t="s">
        <v>353</v>
      </c>
      <c r="B201" s="5">
        <v>0</v>
      </c>
      <c r="C201" s="342">
        <v>0.5</v>
      </c>
      <c r="D201" s="342">
        <v>0.06</v>
      </c>
      <c r="E201" s="7">
        <f t="shared" ref="E201:E202" si="46">B201*C201*D201</f>
        <v>0</v>
      </c>
    </row>
    <row r="202" spans="1:5" ht="24" customHeight="1" thickBot="1" x14ac:dyDescent="0.35">
      <c r="A202" s="2" t="s">
        <v>375</v>
      </c>
      <c r="B202" s="6">
        <v>0</v>
      </c>
      <c r="C202" s="343">
        <v>0.5</v>
      </c>
      <c r="D202" s="343">
        <v>0.06</v>
      </c>
      <c r="E202" s="8">
        <f t="shared" si="46"/>
        <v>0</v>
      </c>
    </row>
    <row r="203" spans="1:5" ht="24" customHeight="1" x14ac:dyDescent="0.3">
      <c r="A203" s="1" t="s">
        <v>236</v>
      </c>
      <c r="B203" s="5">
        <f>B12</f>
        <v>1733.93</v>
      </c>
      <c r="C203" s="70">
        <v>0.5</v>
      </c>
      <c r="D203" s="70">
        <v>0.06</v>
      </c>
      <c r="E203" s="7">
        <f t="shared" si="45"/>
        <v>52.017899999999997</v>
      </c>
    </row>
    <row r="204" spans="1:5" ht="24" customHeight="1" thickBot="1" x14ac:dyDescent="0.35">
      <c r="A204" s="2" t="s">
        <v>237</v>
      </c>
      <c r="B204" s="65">
        <f>B12</f>
        <v>1733.93</v>
      </c>
      <c r="C204" s="72">
        <v>0.5</v>
      </c>
      <c r="D204" s="72">
        <v>0.06</v>
      </c>
      <c r="E204" s="67">
        <f t="shared" si="45"/>
        <v>52.017899999999997</v>
      </c>
    </row>
    <row r="205" spans="1:5" ht="24" customHeight="1" thickBot="1" x14ac:dyDescent="0.35"/>
    <row r="206" spans="1:5" ht="24" customHeight="1" thickBot="1" x14ac:dyDescent="0.35">
      <c r="A206" s="373" t="s">
        <v>43</v>
      </c>
      <c r="B206" s="374"/>
      <c r="C206" s="374"/>
      <c r="D206" s="375"/>
    </row>
    <row r="207" spans="1:5" ht="24" customHeight="1" thickBot="1" x14ac:dyDescent="0.35">
      <c r="A207" s="12" t="s">
        <v>3</v>
      </c>
      <c r="B207" s="13" t="s">
        <v>35</v>
      </c>
      <c r="C207" s="13" t="s">
        <v>40</v>
      </c>
      <c r="D207" s="14" t="s">
        <v>42</v>
      </c>
    </row>
    <row r="208" spans="1:5" ht="24" customHeight="1" x14ac:dyDescent="0.3">
      <c r="A208" s="3" t="s">
        <v>235</v>
      </c>
      <c r="B208" s="5">
        <f t="shared" ref="B208:B215" si="47">E186</f>
        <v>142.5</v>
      </c>
      <c r="C208" s="5">
        <f t="shared" ref="C208:C215" si="48">E197</f>
        <v>52.017899999999997</v>
      </c>
      <c r="D208" s="7">
        <f t="shared" ref="D208:D215" si="49">B208-C208</f>
        <v>90.482100000000003</v>
      </c>
    </row>
    <row r="209" spans="1:7" ht="24" customHeight="1" thickBot="1" x14ac:dyDescent="0.35">
      <c r="A209" s="2" t="s">
        <v>238</v>
      </c>
      <c r="B209" s="6">
        <f t="shared" si="47"/>
        <v>142.5</v>
      </c>
      <c r="C209" s="6">
        <f t="shared" si="48"/>
        <v>52.017899999999997</v>
      </c>
      <c r="D209" s="8">
        <f t="shared" si="49"/>
        <v>90.482100000000003</v>
      </c>
    </row>
    <row r="210" spans="1:7" ht="24" customHeight="1" x14ac:dyDescent="0.3">
      <c r="A210" s="1" t="s">
        <v>352</v>
      </c>
      <c r="B210" s="5">
        <f t="shared" si="47"/>
        <v>142.5</v>
      </c>
      <c r="C210" s="5">
        <f t="shared" si="48"/>
        <v>52.017899999999997</v>
      </c>
      <c r="D210" s="7">
        <f t="shared" si="49"/>
        <v>90.482100000000003</v>
      </c>
    </row>
    <row r="211" spans="1:7" ht="24" customHeight="1" thickBot="1" x14ac:dyDescent="0.35">
      <c r="A211" s="2" t="s">
        <v>374</v>
      </c>
      <c r="B211" s="6">
        <f t="shared" si="47"/>
        <v>142.5</v>
      </c>
      <c r="C211" s="6">
        <f t="shared" si="48"/>
        <v>52.017899999999997</v>
      </c>
      <c r="D211" s="8">
        <f t="shared" si="49"/>
        <v>90.482100000000003</v>
      </c>
    </row>
    <row r="212" spans="1:7" ht="24" customHeight="1" x14ac:dyDescent="0.3">
      <c r="A212" s="1" t="s">
        <v>353</v>
      </c>
      <c r="B212" s="5">
        <f t="shared" si="47"/>
        <v>0</v>
      </c>
      <c r="C212" s="5">
        <f t="shared" si="48"/>
        <v>0</v>
      </c>
      <c r="D212" s="7">
        <f t="shared" ref="D212:D213" si="50">B212-C212</f>
        <v>0</v>
      </c>
    </row>
    <row r="213" spans="1:7" ht="24" customHeight="1" thickBot="1" x14ac:dyDescent="0.35">
      <c r="A213" s="2" t="s">
        <v>375</v>
      </c>
      <c r="B213" s="6">
        <f t="shared" si="47"/>
        <v>0</v>
      </c>
      <c r="C213" s="6">
        <f t="shared" si="48"/>
        <v>0</v>
      </c>
      <c r="D213" s="8">
        <f t="shared" si="50"/>
        <v>0</v>
      </c>
    </row>
    <row r="214" spans="1:7" ht="24" customHeight="1" x14ac:dyDescent="0.3">
      <c r="A214" s="1" t="s">
        <v>236</v>
      </c>
      <c r="B214" s="5">
        <f t="shared" si="47"/>
        <v>142.5</v>
      </c>
      <c r="C214" s="5">
        <f t="shared" si="48"/>
        <v>52.017899999999997</v>
      </c>
      <c r="D214" s="7">
        <f t="shared" si="49"/>
        <v>90.482100000000003</v>
      </c>
    </row>
    <row r="215" spans="1:7" ht="24" customHeight="1" thickBot="1" x14ac:dyDescent="0.35">
      <c r="A215" s="2" t="s">
        <v>237</v>
      </c>
      <c r="B215" s="65">
        <f t="shared" si="47"/>
        <v>142.5</v>
      </c>
      <c r="C215" s="65">
        <f t="shared" si="48"/>
        <v>52.017899999999997</v>
      </c>
      <c r="D215" s="67">
        <f t="shared" si="49"/>
        <v>90.482100000000003</v>
      </c>
    </row>
    <row r="217" spans="1:7" ht="24" customHeight="1" x14ac:dyDescent="0.3">
      <c r="A217" s="413" t="s">
        <v>369</v>
      </c>
      <c r="B217" s="413"/>
      <c r="C217" s="413"/>
      <c r="D217" s="413"/>
      <c r="G217" s="90"/>
    </row>
    <row r="218" spans="1:7" ht="24" customHeight="1" thickBot="1" x14ac:dyDescent="0.35"/>
    <row r="219" spans="1:7" ht="24" customHeight="1" thickBot="1" x14ac:dyDescent="0.35">
      <c r="A219" s="373" t="s">
        <v>242</v>
      </c>
      <c r="B219" s="374"/>
      <c r="C219" s="374"/>
      <c r="D219" s="375"/>
    </row>
    <row r="220" spans="1:7" ht="32.4" customHeight="1" thickBot="1" x14ac:dyDescent="0.35">
      <c r="A220" s="37" t="s">
        <v>3</v>
      </c>
      <c r="B220" s="38" t="s">
        <v>44</v>
      </c>
      <c r="C220" s="11" t="s">
        <v>36</v>
      </c>
      <c r="D220" s="39" t="s">
        <v>4</v>
      </c>
    </row>
    <row r="221" spans="1:7" ht="24" customHeight="1" x14ac:dyDescent="0.3">
      <c r="A221" s="3" t="s">
        <v>235</v>
      </c>
      <c r="B221" s="358">
        <v>32.619999999999997</v>
      </c>
      <c r="C221" s="245">
        <f t="shared" ref="C221:C228" si="51">D186</f>
        <v>15</v>
      </c>
      <c r="D221" s="7">
        <f t="shared" ref="D221:D228" si="52">B221*C221</f>
        <v>489.29999999999995</v>
      </c>
    </row>
    <row r="222" spans="1:7" ht="24" customHeight="1" thickBot="1" x14ac:dyDescent="0.35">
      <c r="A222" s="2" t="s">
        <v>238</v>
      </c>
      <c r="B222" s="359">
        <f>B221</f>
        <v>32.619999999999997</v>
      </c>
      <c r="C222" s="246">
        <f t="shared" si="51"/>
        <v>15</v>
      </c>
      <c r="D222" s="8">
        <f t="shared" si="52"/>
        <v>489.29999999999995</v>
      </c>
    </row>
    <row r="223" spans="1:7" ht="24" customHeight="1" x14ac:dyDescent="0.3">
      <c r="A223" s="1" t="s">
        <v>352</v>
      </c>
      <c r="B223" s="358">
        <f t="shared" ref="B223:B228" si="53">B222</f>
        <v>32.619999999999997</v>
      </c>
      <c r="C223" s="245">
        <f t="shared" si="51"/>
        <v>15</v>
      </c>
      <c r="D223" s="7">
        <f t="shared" si="52"/>
        <v>489.29999999999995</v>
      </c>
    </row>
    <row r="224" spans="1:7" ht="24" customHeight="1" thickBot="1" x14ac:dyDescent="0.35">
      <c r="A224" s="2" t="s">
        <v>374</v>
      </c>
      <c r="B224" s="359">
        <f t="shared" si="53"/>
        <v>32.619999999999997</v>
      </c>
      <c r="C224" s="246">
        <f t="shared" si="51"/>
        <v>15</v>
      </c>
      <c r="D224" s="8">
        <f t="shared" si="52"/>
        <v>489.29999999999995</v>
      </c>
    </row>
    <row r="225" spans="1:4" ht="24" customHeight="1" x14ac:dyDescent="0.3">
      <c r="A225" s="1" t="s">
        <v>353</v>
      </c>
      <c r="B225" s="358">
        <f t="shared" si="53"/>
        <v>32.619999999999997</v>
      </c>
      <c r="C225" s="245">
        <f t="shared" si="51"/>
        <v>15</v>
      </c>
      <c r="D225" s="7">
        <f t="shared" ref="D225:D226" si="54">B225*C225</f>
        <v>489.29999999999995</v>
      </c>
    </row>
    <row r="226" spans="1:4" ht="24" customHeight="1" thickBot="1" x14ac:dyDescent="0.35">
      <c r="A226" s="2" t="s">
        <v>375</v>
      </c>
      <c r="B226" s="359">
        <f t="shared" si="53"/>
        <v>32.619999999999997</v>
      </c>
      <c r="C226" s="246">
        <f t="shared" si="51"/>
        <v>15</v>
      </c>
      <c r="D226" s="8">
        <f t="shared" si="54"/>
        <v>489.29999999999995</v>
      </c>
    </row>
    <row r="227" spans="1:4" ht="24" customHeight="1" x14ac:dyDescent="0.3">
      <c r="A227" s="1" t="s">
        <v>236</v>
      </c>
      <c r="B227" s="358">
        <f>B224</f>
        <v>32.619999999999997</v>
      </c>
      <c r="C227" s="245">
        <f t="shared" si="51"/>
        <v>15</v>
      </c>
      <c r="D227" s="7">
        <f t="shared" si="52"/>
        <v>489.29999999999995</v>
      </c>
    </row>
    <row r="228" spans="1:4" ht="24" customHeight="1" thickBot="1" x14ac:dyDescent="0.35">
      <c r="A228" s="2" t="s">
        <v>237</v>
      </c>
      <c r="B228" s="359">
        <f t="shared" si="53"/>
        <v>32.619999999999997</v>
      </c>
      <c r="C228" s="247">
        <f t="shared" si="51"/>
        <v>15</v>
      </c>
      <c r="D228" s="67">
        <f t="shared" si="52"/>
        <v>489.29999999999995</v>
      </c>
    </row>
    <row r="229" spans="1:4" ht="24" customHeight="1" thickBot="1" x14ac:dyDescent="0.35"/>
    <row r="230" spans="1:4" ht="24" customHeight="1" thickBot="1" x14ac:dyDescent="0.35">
      <c r="A230" s="373" t="s">
        <v>45</v>
      </c>
      <c r="B230" s="374"/>
      <c r="C230" s="374"/>
      <c r="D230" s="375"/>
    </row>
    <row r="231" spans="1:4" ht="24" customHeight="1" thickBot="1" x14ac:dyDescent="0.35">
      <c r="A231" s="12" t="s">
        <v>3</v>
      </c>
      <c r="B231" s="13" t="s">
        <v>1</v>
      </c>
      <c r="C231" s="13" t="s">
        <v>2</v>
      </c>
      <c r="D231" s="14" t="s">
        <v>39</v>
      </c>
    </row>
    <row r="232" spans="1:4" ht="24" customHeight="1" x14ac:dyDescent="0.3">
      <c r="A232" s="3" t="s">
        <v>235</v>
      </c>
      <c r="B232" s="5">
        <f t="shared" ref="B232:B237" si="55">$B$11</f>
        <v>1733.93</v>
      </c>
      <c r="C232" s="70">
        <v>0.01</v>
      </c>
      <c r="D232" s="7">
        <f t="shared" ref="D232:D239" si="56">B232*C232</f>
        <v>17.339300000000001</v>
      </c>
    </row>
    <row r="233" spans="1:4" ht="24" customHeight="1" thickBot="1" x14ac:dyDescent="0.35">
      <c r="A233" s="2" t="s">
        <v>238</v>
      </c>
      <c r="B233" s="74">
        <f t="shared" si="55"/>
        <v>1733.93</v>
      </c>
      <c r="C233" s="75">
        <v>0.01</v>
      </c>
      <c r="D233" s="78">
        <f t="shared" si="56"/>
        <v>17.339300000000001</v>
      </c>
    </row>
    <row r="234" spans="1:4" ht="24" customHeight="1" x14ac:dyDescent="0.3">
      <c r="A234" s="1" t="s">
        <v>352</v>
      </c>
      <c r="B234" s="5">
        <f t="shared" si="55"/>
        <v>1733.93</v>
      </c>
      <c r="C234" s="70">
        <v>0.01</v>
      </c>
      <c r="D234" s="7">
        <f t="shared" si="56"/>
        <v>17.339300000000001</v>
      </c>
    </row>
    <row r="235" spans="1:4" ht="24" customHeight="1" thickBot="1" x14ac:dyDescent="0.35">
      <c r="A235" s="2" t="s">
        <v>374</v>
      </c>
      <c r="B235" s="74">
        <f t="shared" si="55"/>
        <v>1733.93</v>
      </c>
      <c r="C235" s="75">
        <v>0.01</v>
      </c>
      <c r="D235" s="78">
        <f t="shared" si="56"/>
        <v>17.339300000000001</v>
      </c>
    </row>
    <row r="236" spans="1:4" ht="24" customHeight="1" x14ac:dyDescent="0.3">
      <c r="A236" s="1" t="s">
        <v>353</v>
      </c>
      <c r="B236" s="5">
        <f t="shared" si="55"/>
        <v>1733.93</v>
      </c>
      <c r="C236" s="70">
        <v>0.01</v>
      </c>
      <c r="D236" s="7">
        <f t="shared" ref="D236:D237" si="57">B236*C236</f>
        <v>17.339300000000001</v>
      </c>
    </row>
    <row r="237" spans="1:4" ht="24" customHeight="1" thickBot="1" x14ac:dyDescent="0.35">
      <c r="A237" s="2" t="s">
        <v>375</v>
      </c>
      <c r="B237" s="74">
        <f t="shared" si="55"/>
        <v>1733.93</v>
      </c>
      <c r="C237" s="75">
        <v>0.01</v>
      </c>
      <c r="D237" s="78">
        <f t="shared" si="57"/>
        <v>17.339300000000001</v>
      </c>
    </row>
    <row r="238" spans="1:4" ht="24" customHeight="1" x14ac:dyDescent="0.3">
      <c r="A238" s="1" t="s">
        <v>236</v>
      </c>
      <c r="B238" s="5">
        <f>$B$12</f>
        <v>1733.93</v>
      </c>
      <c r="C238" s="70">
        <v>0.01</v>
      </c>
      <c r="D238" s="7">
        <f t="shared" si="56"/>
        <v>17.339300000000001</v>
      </c>
    </row>
    <row r="239" spans="1:4" ht="24" customHeight="1" thickBot="1" x14ac:dyDescent="0.35">
      <c r="A239" s="2" t="s">
        <v>237</v>
      </c>
      <c r="B239" s="65">
        <f>B238</f>
        <v>1733.93</v>
      </c>
      <c r="C239" s="72">
        <v>0.01</v>
      </c>
      <c r="D239" s="67">
        <f t="shared" si="56"/>
        <v>17.339300000000001</v>
      </c>
    </row>
    <row r="240" spans="1:4" ht="24" customHeight="1" thickBot="1" x14ac:dyDescent="0.35"/>
    <row r="241" spans="1:4" ht="24" customHeight="1" thickBot="1" x14ac:dyDescent="0.35">
      <c r="A241" s="373" t="s">
        <v>46</v>
      </c>
      <c r="B241" s="374"/>
      <c r="C241" s="374"/>
      <c r="D241" s="375"/>
    </row>
    <row r="242" spans="1:4" ht="24" customHeight="1" thickBot="1" x14ac:dyDescent="0.35">
      <c r="A242" s="12" t="s">
        <v>3</v>
      </c>
      <c r="B242" s="13" t="s">
        <v>35</v>
      </c>
      <c r="C242" s="13" t="s">
        <v>39</v>
      </c>
      <c r="D242" s="14" t="s">
        <v>42</v>
      </c>
    </row>
    <row r="243" spans="1:4" ht="24" customHeight="1" x14ac:dyDescent="0.3">
      <c r="A243" s="3" t="s">
        <v>235</v>
      </c>
      <c r="B243" s="5">
        <f t="shared" ref="B243:B250" si="58">D221</f>
        <v>489.29999999999995</v>
      </c>
      <c r="C243" s="5">
        <f t="shared" ref="C243:C250" si="59">D232</f>
        <v>17.339300000000001</v>
      </c>
      <c r="D243" s="7">
        <f t="shared" ref="D243:D250" si="60">B243-C243</f>
        <v>471.96069999999997</v>
      </c>
    </row>
    <row r="244" spans="1:4" ht="24" customHeight="1" thickBot="1" x14ac:dyDescent="0.35">
      <c r="A244" s="2" t="s">
        <v>238</v>
      </c>
      <c r="B244" s="6">
        <f t="shared" si="58"/>
        <v>489.29999999999995</v>
      </c>
      <c r="C244" s="6">
        <f t="shared" si="59"/>
        <v>17.339300000000001</v>
      </c>
      <c r="D244" s="8">
        <f t="shared" si="60"/>
        <v>471.96069999999997</v>
      </c>
    </row>
    <row r="245" spans="1:4" ht="24" customHeight="1" x14ac:dyDescent="0.3">
      <c r="A245" s="1" t="s">
        <v>352</v>
      </c>
      <c r="B245" s="5">
        <f t="shared" si="58"/>
        <v>489.29999999999995</v>
      </c>
      <c r="C245" s="5">
        <f t="shared" si="59"/>
        <v>17.339300000000001</v>
      </c>
      <c r="D245" s="7">
        <f t="shared" si="60"/>
        <v>471.96069999999997</v>
      </c>
    </row>
    <row r="246" spans="1:4" ht="24" customHeight="1" thickBot="1" x14ac:dyDescent="0.35">
      <c r="A246" s="2" t="s">
        <v>374</v>
      </c>
      <c r="B246" s="6">
        <f t="shared" si="58"/>
        <v>489.29999999999995</v>
      </c>
      <c r="C246" s="6">
        <f t="shared" si="59"/>
        <v>17.339300000000001</v>
      </c>
      <c r="D246" s="8">
        <f t="shared" si="60"/>
        <v>471.96069999999997</v>
      </c>
    </row>
    <row r="247" spans="1:4" ht="24" customHeight="1" x14ac:dyDescent="0.3">
      <c r="A247" s="1" t="s">
        <v>353</v>
      </c>
      <c r="B247" s="5">
        <f t="shared" si="58"/>
        <v>489.29999999999995</v>
      </c>
      <c r="C247" s="5">
        <f t="shared" si="59"/>
        <v>17.339300000000001</v>
      </c>
      <c r="D247" s="7">
        <f t="shared" ref="D247:D248" si="61">B247-C247</f>
        <v>471.96069999999997</v>
      </c>
    </row>
    <row r="248" spans="1:4" ht="24" customHeight="1" thickBot="1" x14ac:dyDescent="0.35">
      <c r="A248" s="2" t="s">
        <v>375</v>
      </c>
      <c r="B248" s="6">
        <f t="shared" si="58"/>
        <v>489.29999999999995</v>
      </c>
      <c r="C248" s="6">
        <f t="shared" si="59"/>
        <v>17.339300000000001</v>
      </c>
      <c r="D248" s="8">
        <f t="shared" si="61"/>
        <v>471.96069999999997</v>
      </c>
    </row>
    <row r="249" spans="1:4" ht="24" customHeight="1" x14ac:dyDescent="0.3">
      <c r="A249" s="1" t="s">
        <v>236</v>
      </c>
      <c r="B249" s="5">
        <f t="shared" si="58"/>
        <v>489.29999999999995</v>
      </c>
      <c r="C249" s="5">
        <f t="shared" si="59"/>
        <v>17.339300000000001</v>
      </c>
      <c r="D249" s="7">
        <f t="shared" si="60"/>
        <v>471.96069999999997</v>
      </c>
    </row>
    <row r="250" spans="1:4" ht="24" customHeight="1" thickBot="1" x14ac:dyDescent="0.35">
      <c r="A250" s="2" t="s">
        <v>237</v>
      </c>
      <c r="B250" s="65">
        <f t="shared" si="58"/>
        <v>489.29999999999995</v>
      </c>
      <c r="C250" s="65">
        <f t="shared" si="59"/>
        <v>17.339300000000001</v>
      </c>
      <c r="D250" s="67">
        <f t="shared" si="60"/>
        <v>471.96069999999997</v>
      </c>
    </row>
    <row r="251" spans="1:4" ht="24" customHeight="1" thickBot="1" x14ac:dyDescent="0.35"/>
    <row r="252" spans="1:4" ht="24" customHeight="1" thickBot="1" x14ac:dyDescent="0.35">
      <c r="A252" s="373" t="s">
        <v>370</v>
      </c>
      <c r="B252" s="374"/>
      <c r="C252" s="374"/>
      <c r="D252" s="375"/>
    </row>
    <row r="253" spans="1:4" ht="24" customHeight="1" thickBot="1" x14ac:dyDescent="0.35">
      <c r="A253" s="409"/>
      <c r="B253" s="409"/>
      <c r="C253" s="409"/>
      <c r="D253" s="409"/>
    </row>
    <row r="254" spans="1:4" ht="37.950000000000003" customHeight="1" thickBot="1" x14ac:dyDescent="0.35">
      <c r="A254" s="377" t="s">
        <v>265</v>
      </c>
      <c r="B254" s="371"/>
      <c r="C254" s="371"/>
      <c r="D254" s="372"/>
    </row>
    <row r="255" spans="1:4" ht="24" customHeight="1" thickBot="1" x14ac:dyDescent="0.35">
      <c r="A255" s="12" t="s">
        <v>3</v>
      </c>
      <c r="B255" s="13"/>
      <c r="C255" s="13"/>
      <c r="D255" s="14"/>
    </row>
    <row r="256" spans="1:4" ht="24" customHeight="1" x14ac:dyDescent="0.3">
      <c r="A256" s="3" t="s">
        <v>235</v>
      </c>
      <c r="B256" s="5"/>
      <c r="C256" s="5"/>
      <c r="D256" s="360">
        <v>83.88</v>
      </c>
    </row>
    <row r="257" spans="1:8" ht="24" customHeight="1" thickBot="1" x14ac:dyDescent="0.35">
      <c r="A257" s="2" t="s">
        <v>238</v>
      </c>
      <c r="B257" s="65"/>
      <c r="C257" s="65"/>
      <c r="D257" s="361">
        <f>D256</f>
        <v>83.88</v>
      </c>
    </row>
    <row r="258" spans="1:8" ht="24" customHeight="1" x14ac:dyDescent="0.3">
      <c r="A258" s="1" t="s">
        <v>352</v>
      </c>
      <c r="B258" s="5"/>
      <c r="C258" s="5"/>
      <c r="D258" s="360">
        <f>D256</f>
        <v>83.88</v>
      </c>
    </row>
    <row r="259" spans="1:8" ht="24" customHeight="1" thickBot="1" x14ac:dyDescent="0.35">
      <c r="A259" s="2" t="s">
        <v>374</v>
      </c>
      <c r="B259" s="65"/>
      <c r="C259" s="65"/>
      <c r="D259" s="361">
        <f>D257</f>
        <v>83.88</v>
      </c>
    </row>
    <row r="260" spans="1:8" ht="24" customHeight="1" x14ac:dyDescent="0.3">
      <c r="A260" s="1" t="s">
        <v>353</v>
      </c>
      <c r="B260" s="5"/>
      <c r="C260" s="5"/>
      <c r="D260" s="360">
        <f>D258</f>
        <v>83.88</v>
      </c>
    </row>
    <row r="261" spans="1:8" ht="24" customHeight="1" thickBot="1" x14ac:dyDescent="0.35">
      <c r="A261" s="2" t="s">
        <v>375</v>
      </c>
      <c r="B261" s="65"/>
      <c r="C261" s="65"/>
      <c r="D261" s="361">
        <f>D259</f>
        <v>83.88</v>
      </c>
    </row>
    <row r="262" spans="1:8" ht="24" customHeight="1" x14ac:dyDescent="0.3">
      <c r="A262" s="1" t="s">
        <v>236</v>
      </c>
      <c r="B262" s="5"/>
      <c r="C262" s="5"/>
      <c r="D262" s="360">
        <f>D256</f>
        <v>83.88</v>
      </c>
    </row>
    <row r="263" spans="1:8" ht="24" customHeight="1" thickBot="1" x14ac:dyDescent="0.35">
      <c r="A263" s="2" t="s">
        <v>237</v>
      </c>
      <c r="B263" s="65"/>
      <c r="C263" s="65"/>
      <c r="D263" s="361">
        <f>D257</f>
        <v>83.88</v>
      </c>
    </row>
    <row r="264" spans="1:8" ht="24" customHeight="1" thickBot="1" x14ac:dyDescent="0.35"/>
    <row r="265" spans="1:8" ht="16.2" thickBot="1" x14ac:dyDescent="0.35">
      <c r="A265" s="377" t="s">
        <v>259</v>
      </c>
      <c r="B265" s="371"/>
      <c r="C265" s="371"/>
      <c r="D265" s="372"/>
      <c r="E265" s="170"/>
      <c r="F265" s="170"/>
      <c r="G265" s="170"/>
      <c r="H265" s="170"/>
    </row>
    <row r="266" spans="1:8" ht="24" customHeight="1" thickBot="1" x14ac:dyDescent="0.35"/>
    <row r="267" spans="1:8" ht="24" customHeight="1" thickBot="1" x14ac:dyDescent="0.35">
      <c r="A267" s="373" t="s">
        <v>222</v>
      </c>
      <c r="B267" s="374"/>
      <c r="C267" s="374"/>
      <c r="D267" s="375"/>
    </row>
    <row r="268" spans="1:8" ht="24" customHeight="1" thickBot="1" x14ac:dyDescent="0.35">
      <c r="A268" s="12" t="s">
        <v>3</v>
      </c>
      <c r="B268" s="13"/>
      <c r="C268" s="13"/>
      <c r="D268" s="14"/>
    </row>
    <row r="269" spans="1:8" ht="24" customHeight="1" x14ac:dyDescent="0.3">
      <c r="A269" s="3" t="s">
        <v>235</v>
      </c>
      <c r="B269" s="5"/>
      <c r="C269" s="5"/>
      <c r="D269" s="7"/>
    </row>
    <row r="270" spans="1:8" ht="24" customHeight="1" thickBot="1" x14ac:dyDescent="0.35">
      <c r="A270" s="2" t="s">
        <v>238</v>
      </c>
      <c r="B270" s="6"/>
      <c r="C270" s="6"/>
      <c r="D270" s="8"/>
    </row>
    <row r="271" spans="1:8" ht="24" customHeight="1" x14ac:dyDescent="0.3">
      <c r="A271" s="1" t="s">
        <v>352</v>
      </c>
      <c r="B271" s="5"/>
      <c r="C271" s="5"/>
      <c r="D271" s="7"/>
    </row>
    <row r="272" spans="1:8" ht="24" customHeight="1" thickBot="1" x14ac:dyDescent="0.35">
      <c r="A272" s="2" t="s">
        <v>374</v>
      </c>
      <c r="B272" s="6"/>
      <c r="C272" s="6"/>
      <c r="D272" s="8"/>
    </row>
    <row r="273" spans="1:7" ht="24" customHeight="1" x14ac:dyDescent="0.3">
      <c r="A273" s="1" t="s">
        <v>353</v>
      </c>
      <c r="B273" s="5"/>
      <c r="C273" s="5"/>
      <c r="D273" s="7"/>
    </row>
    <row r="274" spans="1:7" ht="24" customHeight="1" thickBot="1" x14ac:dyDescent="0.35">
      <c r="A274" s="2" t="s">
        <v>375</v>
      </c>
      <c r="B274" s="6"/>
      <c r="C274" s="6"/>
      <c r="D274" s="8"/>
    </row>
    <row r="275" spans="1:7" ht="24" customHeight="1" x14ac:dyDescent="0.3">
      <c r="A275" s="1" t="s">
        <v>236</v>
      </c>
      <c r="B275" s="5"/>
      <c r="C275" s="5"/>
      <c r="D275" s="7"/>
    </row>
    <row r="276" spans="1:7" ht="24" customHeight="1" thickBot="1" x14ac:dyDescent="0.35">
      <c r="A276" s="2" t="s">
        <v>237</v>
      </c>
      <c r="B276" s="65"/>
      <c r="C276" s="65"/>
      <c r="D276" s="67"/>
    </row>
    <row r="277" spans="1:7" ht="24" customHeight="1" thickBot="1" x14ac:dyDescent="0.35"/>
    <row r="278" spans="1:7" ht="24" customHeight="1" thickBot="1" x14ac:dyDescent="0.35">
      <c r="A278" s="373" t="s">
        <v>32</v>
      </c>
      <c r="B278" s="374"/>
      <c r="C278" s="374"/>
      <c r="D278" s="374"/>
      <c r="E278" s="374"/>
      <c r="F278" s="375"/>
      <c r="G278" s="22"/>
    </row>
    <row r="279" spans="1:7" ht="63" thickBot="1" x14ac:dyDescent="0.35">
      <c r="A279" s="12" t="s">
        <v>3</v>
      </c>
      <c r="B279" s="15" t="s">
        <v>373</v>
      </c>
      <c r="C279" s="15" t="s">
        <v>371</v>
      </c>
      <c r="D279" s="150" t="s">
        <v>372</v>
      </c>
      <c r="E279" s="13" t="s">
        <v>223</v>
      </c>
      <c r="F279" s="14" t="s">
        <v>12</v>
      </c>
    </row>
    <row r="280" spans="1:7" ht="24" customHeight="1" x14ac:dyDescent="0.3">
      <c r="A280" s="3" t="s">
        <v>235</v>
      </c>
      <c r="B280" s="5">
        <f t="shared" ref="B280:B287" si="62">D208</f>
        <v>90.482100000000003</v>
      </c>
      <c r="C280" s="5">
        <f t="shared" ref="C280:C287" si="63">D243</f>
        <v>471.96069999999997</v>
      </c>
      <c r="D280" s="5">
        <f t="shared" ref="D280:D287" si="64">D256</f>
        <v>83.88</v>
      </c>
      <c r="E280" s="5">
        <f>D269</f>
        <v>0</v>
      </c>
      <c r="F280" s="7">
        <f>SUM(B280:E280)</f>
        <v>646.32280000000003</v>
      </c>
    </row>
    <row r="281" spans="1:7" ht="24" customHeight="1" thickBot="1" x14ac:dyDescent="0.35">
      <c r="A281" s="2" t="s">
        <v>238</v>
      </c>
      <c r="B281" s="6">
        <f t="shared" si="62"/>
        <v>90.482100000000003</v>
      </c>
      <c r="C281" s="6">
        <f t="shared" si="63"/>
        <v>471.96069999999997</v>
      </c>
      <c r="D281" s="6">
        <f t="shared" si="64"/>
        <v>83.88</v>
      </c>
      <c r="E281" s="6">
        <f>D270</f>
        <v>0</v>
      </c>
      <c r="F281" s="8">
        <f t="shared" ref="F281:F287" si="65">SUM(B281:E281)</f>
        <v>646.32280000000003</v>
      </c>
    </row>
    <row r="282" spans="1:7" ht="24" customHeight="1" x14ac:dyDescent="0.3">
      <c r="A282" s="1" t="s">
        <v>352</v>
      </c>
      <c r="B282" s="5">
        <f t="shared" si="62"/>
        <v>90.482100000000003</v>
      </c>
      <c r="C282" s="5">
        <f t="shared" si="63"/>
        <v>471.96069999999997</v>
      </c>
      <c r="D282" s="5">
        <f t="shared" si="64"/>
        <v>83.88</v>
      </c>
      <c r="E282" s="5">
        <f>D275</f>
        <v>0</v>
      </c>
      <c r="F282" s="7">
        <f>SUM(B282:E282)</f>
        <v>646.32280000000003</v>
      </c>
    </row>
    <row r="283" spans="1:7" ht="24" customHeight="1" thickBot="1" x14ac:dyDescent="0.35">
      <c r="A283" s="2" t="s">
        <v>374</v>
      </c>
      <c r="B283" s="6">
        <f t="shared" si="62"/>
        <v>90.482100000000003</v>
      </c>
      <c r="C283" s="6">
        <f t="shared" si="63"/>
        <v>471.96069999999997</v>
      </c>
      <c r="D283" s="6">
        <f t="shared" si="64"/>
        <v>83.88</v>
      </c>
      <c r="E283" s="6">
        <f>D276</f>
        <v>0</v>
      </c>
      <c r="F283" s="8">
        <f t="shared" ref="F283" si="66">SUM(B283:E283)</f>
        <v>646.32280000000003</v>
      </c>
    </row>
    <row r="284" spans="1:7" ht="24" customHeight="1" x14ac:dyDescent="0.3">
      <c r="A284" s="1" t="s">
        <v>353</v>
      </c>
      <c r="B284" s="5">
        <f t="shared" si="62"/>
        <v>0</v>
      </c>
      <c r="C284" s="5">
        <f t="shared" si="63"/>
        <v>471.96069999999997</v>
      </c>
      <c r="D284" s="5">
        <f t="shared" si="64"/>
        <v>83.88</v>
      </c>
      <c r="E284" s="5">
        <f>D277</f>
        <v>0</v>
      </c>
      <c r="F284" s="7">
        <f>SUM(B284:E284)</f>
        <v>555.84069999999997</v>
      </c>
    </row>
    <row r="285" spans="1:7" ht="24" customHeight="1" thickBot="1" x14ac:dyDescent="0.35">
      <c r="A285" s="2" t="s">
        <v>375</v>
      </c>
      <c r="B285" s="6">
        <f t="shared" si="62"/>
        <v>0</v>
      </c>
      <c r="C285" s="6">
        <f t="shared" si="63"/>
        <v>471.96069999999997</v>
      </c>
      <c r="D285" s="6">
        <f t="shared" si="64"/>
        <v>83.88</v>
      </c>
      <c r="E285" s="6">
        <f>D278</f>
        <v>0</v>
      </c>
      <c r="F285" s="8">
        <f t="shared" ref="F285" si="67">SUM(B285:E285)</f>
        <v>555.84069999999997</v>
      </c>
    </row>
    <row r="286" spans="1:7" ht="24" customHeight="1" x14ac:dyDescent="0.3">
      <c r="A286" s="1" t="s">
        <v>236</v>
      </c>
      <c r="B286" s="5">
        <f t="shared" si="62"/>
        <v>90.482100000000003</v>
      </c>
      <c r="C286" s="5">
        <f t="shared" si="63"/>
        <v>471.96069999999997</v>
      </c>
      <c r="D286" s="5">
        <f t="shared" si="64"/>
        <v>83.88</v>
      </c>
      <c r="E286" s="5">
        <f>D275</f>
        <v>0</v>
      </c>
      <c r="F286" s="7">
        <f t="shared" si="65"/>
        <v>646.32280000000003</v>
      </c>
    </row>
    <row r="287" spans="1:7" ht="24" customHeight="1" thickBot="1" x14ac:dyDescent="0.35">
      <c r="A287" s="2" t="s">
        <v>237</v>
      </c>
      <c r="B287" s="65">
        <f t="shared" si="62"/>
        <v>90.482100000000003</v>
      </c>
      <c r="C287" s="65">
        <f t="shared" si="63"/>
        <v>471.96069999999997</v>
      </c>
      <c r="D287" s="65">
        <f t="shared" si="64"/>
        <v>83.88</v>
      </c>
      <c r="E287" s="65">
        <f>D276</f>
        <v>0</v>
      </c>
      <c r="F287" s="67">
        <f t="shared" si="65"/>
        <v>646.32280000000003</v>
      </c>
    </row>
    <row r="289" spans="1:8" ht="24" customHeight="1" x14ac:dyDescent="0.3">
      <c r="A289" s="378" t="s">
        <v>127</v>
      </c>
      <c r="B289" s="378"/>
      <c r="C289" s="378"/>
      <c r="D289" s="378"/>
      <c r="E289" s="378"/>
    </row>
    <row r="290" spans="1:8" ht="24" customHeight="1" thickBot="1" x14ac:dyDescent="0.35"/>
    <row r="291" spans="1:8" ht="24" customHeight="1" thickBot="1" x14ac:dyDescent="0.35">
      <c r="A291" s="373" t="s">
        <v>127</v>
      </c>
      <c r="B291" s="374"/>
      <c r="C291" s="374"/>
      <c r="D291" s="374"/>
      <c r="E291" s="375"/>
    </row>
    <row r="292" spans="1:8" ht="24" customHeight="1" thickBot="1" x14ac:dyDescent="0.35">
      <c r="A292" s="12" t="s">
        <v>3</v>
      </c>
      <c r="B292" s="13" t="s">
        <v>56</v>
      </c>
      <c r="C292" s="13" t="s">
        <v>57</v>
      </c>
      <c r="D292" s="13" t="s">
        <v>58</v>
      </c>
      <c r="E292" s="14" t="s">
        <v>12</v>
      </c>
    </row>
    <row r="293" spans="1:8" ht="24" customHeight="1" x14ac:dyDescent="0.3">
      <c r="A293" s="3" t="s">
        <v>235</v>
      </c>
      <c r="B293" s="5">
        <f t="shared" ref="B293:B300" si="68">E123</f>
        <v>444.27577638888886</v>
      </c>
      <c r="C293" s="5">
        <f t="shared" ref="C293:C300" si="69">D171</f>
        <v>1086.1908053027778</v>
      </c>
      <c r="D293" s="5">
        <f t="shared" ref="D293:D300" si="70">F280</f>
        <v>646.32280000000003</v>
      </c>
      <c r="E293" s="7">
        <f t="shared" ref="E293:E300" si="71">SUM(B293:D293)</f>
        <v>2176.7893816916667</v>
      </c>
    </row>
    <row r="294" spans="1:8" ht="24" customHeight="1" thickBot="1" x14ac:dyDescent="0.35">
      <c r="A294" s="2" t="s">
        <v>238</v>
      </c>
      <c r="B294" s="74">
        <f t="shared" si="68"/>
        <v>518.32173912037035</v>
      </c>
      <c r="C294" s="74">
        <f t="shared" si="69"/>
        <v>1267.2226061865742</v>
      </c>
      <c r="D294" s="74">
        <f t="shared" si="70"/>
        <v>646.32280000000003</v>
      </c>
      <c r="E294" s="78">
        <f t="shared" si="71"/>
        <v>2431.8671453069446</v>
      </c>
    </row>
    <row r="295" spans="1:8" ht="24" customHeight="1" x14ac:dyDescent="0.3">
      <c r="A295" s="1" t="s">
        <v>352</v>
      </c>
      <c r="B295" s="5">
        <f t="shared" si="68"/>
        <v>484.73414305555553</v>
      </c>
      <c r="C295" s="5">
        <f t="shared" si="69"/>
        <v>1185.1057320361115</v>
      </c>
      <c r="D295" s="5">
        <f t="shared" si="70"/>
        <v>646.32280000000003</v>
      </c>
      <c r="E295" s="7">
        <f t="shared" ref="E295:E296" si="72">SUM(B295:D295)</f>
        <v>2316.1626750916671</v>
      </c>
    </row>
    <row r="296" spans="1:8" ht="24" customHeight="1" thickBot="1" x14ac:dyDescent="0.35">
      <c r="A296" s="2" t="s">
        <v>374</v>
      </c>
      <c r="B296" s="74">
        <f t="shared" si="68"/>
        <v>527.04612175925922</v>
      </c>
      <c r="C296" s="74">
        <f t="shared" si="69"/>
        <v>1353.5074072768521</v>
      </c>
      <c r="D296" s="74">
        <f t="shared" si="70"/>
        <v>646.32280000000003</v>
      </c>
      <c r="E296" s="78">
        <f t="shared" si="72"/>
        <v>2526.8763290361112</v>
      </c>
    </row>
    <row r="297" spans="1:8" ht="24" customHeight="1" x14ac:dyDescent="0.3">
      <c r="A297" s="1" t="s">
        <v>353</v>
      </c>
      <c r="B297" s="5">
        <f t="shared" si="68"/>
        <v>484.73414305555553</v>
      </c>
      <c r="C297" s="5">
        <f t="shared" si="69"/>
        <v>1185.1057320361115</v>
      </c>
      <c r="D297" s="5">
        <f t="shared" si="70"/>
        <v>555.84069999999997</v>
      </c>
      <c r="E297" s="7">
        <f t="shared" ref="E297:E298" si="73">SUM(B297:D297)</f>
        <v>2225.6805750916669</v>
      </c>
    </row>
    <row r="298" spans="1:8" ht="24" customHeight="1" thickBot="1" x14ac:dyDescent="0.35">
      <c r="A298" s="2" t="s">
        <v>375</v>
      </c>
      <c r="B298" s="74">
        <f t="shared" si="68"/>
        <v>527.04612175925922</v>
      </c>
      <c r="C298" s="74">
        <f t="shared" si="69"/>
        <v>1353.5074072768521</v>
      </c>
      <c r="D298" s="74">
        <f t="shared" si="70"/>
        <v>555.84069999999997</v>
      </c>
      <c r="E298" s="78">
        <f t="shared" si="73"/>
        <v>2436.394229036111</v>
      </c>
    </row>
    <row r="299" spans="1:8" ht="24" customHeight="1" x14ac:dyDescent="0.3">
      <c r="A299" s="1" t="s">
        <v>236</v>
      </c>
      <c r="B299" s="5">
        <f t="shared" si="68"/>
        <v>484.73414305555553</v>
      </c>
      <c r="C299" s="5">
        <f t="shared" si="69"/>
        <v>1185.1057320361115</v>
      </c>
      <c r="D299" s="5">
        <f t="shared" si="70"/>
        <v>646.32280000000003</v>
      </c>
      <c r="E299" s="7">
        <f t="shared" si="71"/>
        <v>2316.1626750916671</v>
      </c>
    </row>
    <row r="300" spans="1:8" ht="24" customHeight="1" thickBot="1" x14ac:dyDescent="0.35">
      <c r="A300" s="2" t="s">
        <v>237</v>
      </c>
      <c r="B300" s="65">
        <f t="shared" si="68"/>
        <v>558.78010578703709</v>
      </c>
      <c r="C300" s="65">
        <f t="shared" si="69"/>
        <v>1366.1375329199077</v>
      </c>
      <c r="D300" s="65">
        <f t="shared" si="70"/>
        <v>646.32280000000003</v>
      </c>
      <c r="E300" s="67">
        <f t="shared" si="71"/>
        <v>2571.2404387069446</v>
      </c>
    </row>
    <row r="302" spans="1:8" ht="24" customHeight="1" x14ac:dyDescent="0.3">
      <c r="A302" s="378" t="s">
        <v>47</v>
      </c>
      <c r="B302" s="378"/>
      <c r="C302" s="378"/>
      <c r="D302" s="378"/>
      <c r="E302" s="378"/>
      <c r="F302" s="378"/>
      <c r="G302" s="378"/>
      <c r="H302" s="378"/>
    </row>
    <row r="303" spans="1:8" ht="24" customHeight="1" thickBot="1" x14ac:dyDescent="0.35"/>
    <row r="304" spans="1:8" ht="34.200000000000003" customHeight="1" thickBot="1" x14ac:dyDescent="0.35">
      <c r="A304" s="377" t="s">
        <v>48</v>
      </c>
      <c r="B304" s="372"/>
    </row>
    <row r="305" spans="1:41" ht="24" customHeight="1" thickBot="1" x14ac:dyDescent="0.35">
      <c r="A305" s="34" t="s">
        <v>49</v>
      </c>
      <c r="B305" s="36" t="s">
        <v>2</v>
      </c>
    </row>
    <row r="306" spans="1:41" ht="29.25" customHeight="1" x14ac:dyDescent="0.3">
      <c r="A306" s="26" t="s">
        <v>50</v>
      </c>
      <c r="B306" s="60"/>
    </row>
    <row r="307" spans="1:41" ht="30" customHeight="1" x14ac:dyDescent="0.3">
      <c r="A307" s="93" t="s">
        <v>51</v>
      </c>
      <c r="B307" s="94">
        <v>4.1999999999999997E-3</v>
      </c>
    </row>
    <row r="308" spans="1:41" ht="27.75" customHeight="1" x14ac:dyDescent="0.3">
      <c r="A308" s="93" t="s">
        <v>52</v>
      </c>
      <c r="B308" s="94">
        <v>1.9400000000000001E-2</v>
      </c>
    </row>
    <row r="309" spans="1:41" ht="29.25" customHeight="1" x14ac:dyDescent="0.3">
      <c r="A309" s="23" t="s">
        <v>53</v>
      </c>
      <c r="B309" s="61">
        <v>0</v>
      </c>
    </row>
    <row r="310" spans="1:41" ht="29.25" customHeight="1" thickBot="1" x14ac:dyDescent="0.35">
      <c r="A310" s="24" t="s">
        <v>54</v>
      </c>
      <c r="B310" s="62">
        <v>0</v>
      </c>
    </row>
    <row r="311" spans="1:41" ht="24" customHeight="1" thickBot="1" x14ac:dyDescent="0.35">
      <c r="A311" s="34" t="s">
        <v>28</v>
      </c>
      <c r="B311" s="25">
        <f>SUM(B307:B310)</f>
        <v>2.3599999999999999E-2</v>
      </c>
      <c r="H311" s="90"/>
    </row>
    <row r="313" spans="1:41" ht="24" customHeight="1" x14ac:dyDescent="0.3">
      <c r="A313" s="380" t="s">
        <v>55</v>
      </c>
      <c r="B313" s="381"/>
      <c r="C313" s="381"/>
      <c r="D313" s="381"/>
      <c r="E313" s="381"/>
      <c r="F313" s="381"/>
      <c r="G313" s="381"/>
      <c r="H313" s="381"/>
    </row>
    <row r="314" spans="1:41" ht="24" customHeight="1" thickBot="1" x14ac:dyDescent="0.35"/>
    <row r="315" spans="1:41" customFormat="1" ht="24" customHeight="1" thickBot="1" x14ac:dyDescent="0.35">
      <c r="A315" s="410" t="s">
        <v>243</v>
      </c>
      <c r="B315" s="411"/>
      <c r="C315" s="411"/>
      <c r="D315" s="412"/>
      <c r="E315" s="90"/>
      <c r="F315" s="90"/>
      <c r="G315" s="90"/>
      <c r="H315" s="90"/>
      <c r="I315" s="90"/>
      <c r="J315" s="90"/>
      <c r="K315" s="90"/>
      <c r="L315" s="90"/>
      <c r="M315" s="29"/>
      <c r="N315" s="29"/>
      <c r="O315" s="29"/>
      <c r="P315" s="29"/>
      <c r="Q315" s="29"/>
      <c r="R315" s="29"/>
      <c r="S315" s="29"/>
      <c r="T315" s="29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F315" s="29"/>
      <c r="AG315" s="29"/>
      <c r="AH315" s="29"/>
      <c r="AI315" s="29"/>
      <c r="AJ315" s="29"/>
      <c r="AK315" s="29"/>
      <c r="AL315" s="29"/>
      <c r="AM315" s="29"/>
      <c r="AN315" s="29"/>
      <c r="AO315" s="29"/>
    </row>
    <row r="316" spans="1:41" customFormat="1" ht="24" customHeight="1" thickBot="1" x14ac:dyDescent="0.35">
      <c r="A316" s="171" t="s">
        <v>3</v>
      </c>
      <c r="B316" s="172" t="s">
        <v>1</v>
      </c>
      <c r="C316" s="173" t="s">
        <v>244</v>
      </c>
      <c r="D316" s="174" t="s">
        <v>12</v>
      </c>
      <c r="E316" s="90"/>
      <c r="F316" s="90"/>
      <c r="G316" s="90"/>
      <c r="H316" s="90"/>
      <c r="I316" s="90"/>
      <c r="J316" s="90"/>
      <c r="K316" s="90"/>
      <c r="L316" s="90"/>
      <c r="M316" s="29"/>
      <c r="N316" s="29"/>
      <c r="O316" s="29"/>
      <c r="P316" s="29"/>
      <c r="Q316" s="29"/>
      <c r="R316" s="29"/>
      <c r="S316" s="29"/>
      <c r="T316" s="29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F316" s="29"/>
      <c r="AG316" s="29"/>
      <c r="AH316" s="29"/>
      <c r="AI316" s="29"/>
      <c r="AJ316" s="29"/>
      <c r="AK316" s="29"/>
      <c r="AL316" s="29"/>
      <c r="AM316" s="29"/>
      <c r="AN316" s="29"/>
      <c r="AO316" s="29"/>
    </row>
    <row r="317" spans="1:41" customFormat="1" ht="24" customHeight="1" x14ac:dyDescent="0.3">
      <c r="A317" s="3" t="s">
        <v>235</v>
      </c>
      <c r="B317" s="5">
        <f>H75+B293</f>
        <v>2729.1226263888889</v>
      </c>
      <c r="C317" s="5">
        <f t="shared" ref="C317:C324" si="74">D160</f>
        <v>218.3298101111111</v>
      </c>
      <c r="D317" s="7">
        <f t="shared" ref="D317:D324" si="75">(B317+C317)</f>
        <v>2947.4524364999997</v>
      </c>
      <c r="E317" s="175"/>
      <c r="F317" s="175"/>
      <c r="G317" s="175"/>
      <c r="H317" s="175"/>
      <c r="I317" s="175"/>
      <c r="J317" s="175"/>
      <c r="K317" s="175"/>
      <c r="L317" s="175"/>
      <c r="M317" s="29"/>
      <c r="N317" s="29"/>
      <c r="O317" s="29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F317" s="29"/>
      <c r="AG317" s="29"/>
      <c r="AH317" s="29"/>
      <c r="AI317" s="29"/>
      <c r="AJ317" s="29"/>
      <c r="AK317" s="29"/>
      <c r="AL317" s="29"/>
      <c r="AM317" s="29"/>
      <c r="AN317" s="29"/>
      <c r="AO317" s="29"/>
    </row>
    <row r="318" spans="1:41" customFormat="1" ht="24" customHeight="1" thickBot="1" x14ac:dyDescent="0.35">
      <c r="A318" s="2" t="s">
        <v>238</v>
      </c>
      <c r="B318" s="65">
        <f t="shared" ref="B318:B324" si="76">H76+B294</f>
        <v>3183.9763974537036</v>
      </c>
      <c r="C318" s="65">
        <f t="shared" si="74"/>
        <v>254.71811179629628</v>
      </c>
      <c r="D318" s="67">
        <f t="shared" si="75"/>
        <v>3438.69450925</v>
      </c>
      <c r="E318" s="175"/>
      <c r="F318" s="175"/>
      <c r="G318" s="175"/>
      <c r="H318" s="175"/>
      <c r="I318" s="175"/>
      <c r="J318" s="175"/>
      <c r="K318" s="175"/>
      <c r="L318" s="175"/>
      <c r="M318" s="29"/>
      <c r="N318" s="29"/>
      <c r="O318" s="29"/>
      <c r="P318" s="29"/>
      <c r="Q318" s="29"/>
      <c r="R318" s="29"/>
      <c r="S318" s="29"/>
      <c r="T318" s="29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F318" s="29"/>
      <c r="AG318" s="29"/>
      <c r="AH318" s="29"/>
      <c r="AI318" s="29"/>
      <c r="AJ318" s="29"/>
      <c r="AK318" s="29"/>
      <c r="AL318" s="29"/>
      <c r="AM318" s="29"/>
      <c r="AN318" s="29"/>
      <c r="AO318" s="29"/>
    </row>
    <row r="319" spans="1:41" customFormat="1" ht="24" customHeight="1" x14ac:dyDescent="0.3">
      <c r="A319" s="1" t="s">
        <v>352</v>
      </c>
      <c r="B319" s="5">
        <f t="shared" si="76"/>
        <v>2977.6525930555558</v>
      </c>
      <c r="C319" s="5">
        <f t="shared" si="74"/>
        <v>238.21220744444446</v>
      </c>
      <c r="D319" s="7">
        <f t="shared" si="75"/>
        <v>3215.8648005000005</v>
      </c>
      <c r="E319" s="175"/>
      <c r="F319" s="175"/>
      <c r="G319" s="175"/>
      <c r="H319" s="175"/>
      <c r="I319" s="175"/>
      <c r="J319" s="175"/>
      <c r="K319" s="175"/>
      <c r="L319" s="175"/>
      <c r="M319" s="29"/>
      <c r="N319" s="29"/>
      <c r="O319" s="29"/>
      <c r="P319" s="29"/>
      <c r="Q319" s="29"/>
      <c r="R319" s="29"/>
      <c r="S319" s="29"/>
      <c r="T319" s="29"/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F319" s="29"/>
      <c r="AG319" s="29"/>
      <c r="AH319" s="29"/>
      <c r="AI319" s="29"/>
      <c r="AJ319" s="29"/>
      <c r="AK319" s="29"/>
      <c r="AL319" s="29"/>
      <c r="AM319" s="29"/>
      <c r="AN319" s="29"/>
      <c r="AO319" s="29"/>
    </row>
    <row r="320" spans="1:41" customFormat="1" ht="24" customHeight="1" thickBot="1" x14ac:dyDescent="0.35">
      <c r="A320" s="2" t="s">
        <v>374</v>
      </c>
      <c r="B320" s="65">
        <f t="shared" si="76"/>
        <v>3400.7723800925928</v>
      </c>
      <c r="C320" s="65">
        <f t="shared" si="74"/>
        <v>272.06179040740744</v>
      </c>
      <c r="D320" s="67">
        <f t="shared" si="75"/>
        <v>3672.8341705000003</v>
      </c>
      <c r="E320" s="175"/>
      <c r="F320" s="175"/>
      <c r="G320" s="175"/>
      <c r="H320" s="175"/>
      <c r="I320" s="175"/>
      <c r="J320" s="175"/>
      <c r="K320" s="175"/>
      <c r="L320" s="175"/>
      <c r="M320" s="29"/>
      <c r="N320" s="29"/>
      <c r="O320" s="29"/>
      <c r="P320" s="29"/>
      <c r="Q320" s="29"/>
      <c r="R320" s="29"/>
      <c r="S320" s="29"/>
      <c r="T320" s="29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F320" s="29"/>
      <c r="AG320" s="29"/>
      <c r="AH320" s="29"/>
      <c r="AI320" s="29"/>
      <c r="AJ320" s="29"/>
      <c r="AK320" s="29"/>
      <c r="AL320" s="29"/>
      <c r="AM320" s="29"/>
      <c r="AN320" s="29"/>
      <c r="AO320" s="29"/>
    </row>
    <row r="321" spans="1:41" customFormat="1" ht="24" customHeight="1" x14ac:dyDescent="0.3">
      <c r="A321" s="1" t="s">
        <v>353</v>
      </c>
      <c r="B321" s="5">
        <f t="shared" si="76"/>
        <v>2977.6525930555558</v>
      </c>
      <c r="C321" s="5">
        <f t="shared" si="74"/>
        <v>238.21220744444446</v>
      </c>
      <c r="D321" s="7">
        <f t="shared" ref="D321:D322" si="77">(B321+C321)</f>
        <v>3215.8648005000005</v>
      </c>
      <c r="E321" s="175"/>
      <c r="F321" s="175"/>
      <c r="G321" s="175"/>
      <c r="H321" s="175"/>
      <c r="I321" s="175"/>
      <c r="J321" s="175"/>
      <c r="K321" s="175"/>
      <c r="L321" s="175"/>
      <c r="M321" s="29"/>
      <c r="N321" s="29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F321" s="29"/>
      <c r="AG321" s="29"/>
      <c r="AH321" s="29"/>
      <c r="AI321" s="29"/>
      <c r="AJ321" s="29"/>
      <c r="AK321" s="29"/>
      <c r="AL321" s="29"/>
      <c r="AM321" s="29"/>
      <c r="AN321" s="29"/>
      <c r="AO321" s="29"/>
    </row>
    <row r="322" spans="1:41" customFormat="1" ht="24" customHeight="1" thickBot="1" x14ac:dyDescent="0.35">
      <c r="A322" s="2" t="s">
        <v>375</v>
      </c>
      <c r="B322" s="65">
        <f t="shared" si="76"/>
        <v>3400.7723800925928</v>
      </c>
      <c r="C322" s="65">
        <f t="shared" si="74"/>
        <v>272.06179040740744</v>
      </c>
      <c r="D322" s="67">
        <f t="shared" si="77"/>
        <v>3672.8341705000003</v>
      </c>
      <c r="E322" s="175"/>
      <c r="F322" s="175"/>
      <c r="G322" s="175"/>
      <c r="H322" s="175"/>
      <c r="I322" s="175"/>
      <c r="J322" s="175"/>
      <c r="K322" s="175"/>
      <c r="L322" s="175"/>
      <c r="M322" s="29"/>
      <c r="N322" s="29"/>
      <c r="O322" s="29"/>
      <c r="P322" s="29"/>
      <c r="Q322" s="29"/>
      <c r="R322" s="29"/>
      <c r="S322" s="29"/>
      <c r="T322" s="29"/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F322" s="29"/>
      <c r="AG322" s="29"/>
      <c r="AH322" s="29"/>
      <c r="AI322" s="29"/>
      <c r="AJ322" s="29"/>
      <c r="AK322" s="29"/>
      <c r="AL322" s="29"/>
      <c r="AM322" s="29"/>
      <c r="AN322" s="29"/>
      <c r="AO322" s="29"/>
    </row>
    <row r="323" spans="1:41" customFormat="1" ht="24" customHeight="1" x14ac:dyDescent="0.3">
      <c r="A323" s="1" t="s">
        <v>236</v>
      </c>
      <c r="B323" s="5">
        <f t="shared" si="76"/>
        <v>2977.6525930555558</v>
      </c>
      <c r="C323" s="5">
        <f t="shared" si="74"/>
        <v>238.21220744444446</v>
      </c>
      <c r="D323" s="7">
        <f t="shared" si="75"/>
        <v>3215.8648005000005</v>
      </c>
      <c r="E323" s="175"/>
      <c r="F323" s="175"/>
      <c r="G323" s="175"/>
      <c r="H323" s="175"/>
      <c r="I323" s="175"/>
      <c r="J323" s="175"/>
      <c r="K323" s="175"/>
      <c r="L323" s="175"/>
      <c r="M323" s="29"/>
      <c r="N323" s="29"/>
      <c r="O323" s="29"/>
      <c r="P323" s="29"/>
      <c r="Q323" s="29"/>
      <c r="R323" s="29"/>
      <c r="S323" s="29"/>
      <c r="T323" s="29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F323" s="29"/>
      <c r="AG323" s="29"/>
      <c r="AH323" s="29"/>
      <c r="AI323" s="29"/>
      <c r="AJ323" s="29"/>
      <c r="AK323" s="29"/>
      <c r="AL323" s="29"/>
      <c r="AM323" s="29"/>
      <c r="AN323" s="29"/>
      <c r="AO323" s="29"/>
    </row>
    <row r="324" spans="1:41" customFormat="1" ht="24" customHeight="1" thickBot="1" x14ac:dyDescent="0.35">
      <c r="A324" s="2" t="s">
        <v>237</v>
      </c>
      <c r="B324" s="65">
        <f t="shared" si="76"/>
        <v>3432.5063641203706</v>
      </c>
      <c r="C324" s="65">
        <f t="shared" si="74"/>
        <v>274.60050912962964</v>
      </c>
      <c r="D324" s="67">
        <f t="shared" si="75"/>
        <v>3707.1068732500003</v>
      </c>
      <c r="E324" s="175"/>
      <c r="F324" s="175"/>
      <c r="G324" s="175"/>
      <c r="H324" s="175"/>
      <c r="I324" s="175"/>
      <c r="J324" s="175"/>
      <c r="K324" s="175"/>
      <c r="L324" s="175"/>
      <c r="M324" s="29"/>
      <c r="N324" s="29"/>
      <c r="O324" s="29"/>
      <c r="P324" s="29"/>
      <c r="Q324" s="29"/>
      <c r="R324" s="29"/>
      <c r="S324" s="29"/>
      <c r="T324" s="29"/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F324" s="29"/>
      <c r="AG324" s="29"/>
      <c r="AH324" s="29"/>
      <c r="AI324" s="29"/>
      <c r="AJ324" s="29"/>
      <c r="AK324" s="29"/>
      <c r="AL324" s="29"/>
      <c r="AM324" s="29"/>
      <c r="AN324" s="29"/>
      <c r="AO324" s="29"/>
    </row>
    <row r="325" spans="1:41" ht="24" customHeight="1" thickBot="1" x14ac:dyDescent="0.35"/>
    <row r="326" spans="1:41" ht="24" customHeight="1" thickBot="1" x14ac:dyDescent="0.35">
      <c r="A326" s="377" t="s">
        <v>59</v>
      </c>
      <c r="B326" s="371"/>
      <c r="C326" s="371"/>
      <c r="D326" s="372"/>
      <c r="E326" s="28"/>
    </row>
    <row r="327" spans="1:41" ht="31.8" thickBot="1" x14ac:dyDescent="0.35">
      <c r="A327" s="12" t="s">
        <v>3</v>
      </c>
      <c r="B327" s="13" t="s">
        <v>1</v>
      </c>
      <c r="C327" s="27" t="s">
        <v>60</v>
      </c>
      <c r="D327" s="14" t="s">
        <v>4</v>
      </c>
    </row>
    <row r="328" spans="1:41" ht="24" customHeight="1" x14ac:dyDescent="0.3">
      <c r="A328" s="3" t="s">
        <v>235</v>
      </c>
      <c r="B328" s="5">
        <f t="shared" ref="B328:B335" si="78">D160</f>
        <v>218.3298101111111</v>
      </c>
      <c r="C328" s="151">
        <v>0.4</v>
      </c>
      <c r="D328" s="7">
        <f t="shared" ref="D328:D335" si="79">B328*C328</f>
        <v>87.331924044444449</v>
      </c>
    </row>
    <row r="329" spans="1:41" ht="24" customHeight="1" thickBot="1" x14ac:dyDescent="0.35">
      <c r="A329" s="2" t="s">
        <v>238</v>
      </c>
      <c r="B329" s="65">
        <f t="shared" si="78"/>
        <v>254.71811179629628</v>
      </c>
      <c r="C329" s="72">
        <f>C328</f>
        <v>0.4</v>
      </c>
      <c r="D329" s="67">
        <f t="shared" si="79"/>
        <v>101.88724471851852</v>
      </c>
    </row>
    <row r="330" spans="1:41" ht="24" customHeight="1" x14ac:dyDescent="0.3">
      <c r="A330" s="1" t="s">
        <v>352</v>
      </c>
      <c r="B330" s="5">
        <f t="shared" si="78"/>
        <v>238.21220744444446</v>
      </c>
      <c r="C330" s="151">
        <v>0.4</v>
      </c>
      <c r="D330" s="7">
        <f t="shared" si="79"/>
        <v>95.284882977777784</v>
      </c>
    </row>
    <row r="331" spans="1:41" ht="24" customHeight="1" thickBot="1" x14ac:dyDescent="0.35">
      <c r="A331" s="2" t="s">
        <v>374</v>
      </c>
      <c r="B331" s="65">
        <f t="shared" si="78"/>
        <v>272.06179040740744</v>
      </c>
      <c r="C331" s="72">
        <f>C330</f>
        <v>0.4</v>
      </c>
      <c r="D331" s="67">
        <f t="shared" si="79"/>
        <v>108.82471616296299</v>
      </c>
    </row>
    <row r="332" spans="1:41" ht="24" customHeight="1" thickBot="1" x14ac:dyDescent="0.35">
      <c r="A332" s="1" t="s">
        <v>353</v>
      </c>
      <c r="B332" s="5">
        <f t="shared" si="78"/>
        <v>238.21220744444446</v>
      </c>
      <c r="C332" s="72">
        <v>0.4</v>
      </c>
      <c r="D332" s="7">
        <f t="shared" ref="D332:D333" si="80">B332*C332</f>
        <v>95.284882977777784</v>
      </c>
    </row>
    <row r="333" spans="1:41" ht="24" customHeight="1" thickBot="1" x14ac:dyDescent="0.35">
      <c r="A333" s="2" t="s">
        <v>375</v>
      </c>
      <c r="B333" s="65">
        <f t="shared" si="78"/>
        <v>272.06179040740744</v>
      </c>
      <c r="C333" s="72">
        <f>C332</f>
        <v>0.4</v>
      </c>
      <c r="D333" s="67">
        <f t="shared" si="80"/>
        <v>108.82471616296299</v>
      </c>
    </row>
    <row r="334" spans="1:41" ht="24" customHeight="1" x14ac:dyDescent="0.3">
      <c r="A334" s="1" t="s">
        <v>236</v>
      </c>
      <c r="B334" s="5">
        <f t="shared" si="78"/>
        <v>238.21220744444446</v>
      </c>
      <c r="C334" s="70">
        <v>0.4</v>
      </c>
      <c r="D334" s="7">
        <f t="shared" si="79"/>
        <v>95.284882977777784</v>
      </c>
    </row>
    <row r="335" spans="1:41" ht="24" customHeight="1" thickBot="1" x14ac:dyDescent="0.35">
      <c r="A335" s="2" t="s">
        <v>237</v>
      </c>
      <c r="B335" s="65">
        <f t="shared" si="78"/>
        <v>274.60050912962964</v>
      </c>
      <c r="C335" s="72">
        <f>C334</f>
        <v>0.4</v>
      </c>
      <c r="D335" s="67">
        <f t="shared" si="79"/>
        <v>109.84020365185187</v>
      </c>
    </row>
    <row r="336" spans="1:41" ht="24" customHeight="1" thickBot="1" x14ac:dyDescent="0.35"/>
    <row r="337" spans="1:41" customFormat="1" ht="24" customHeight="1" thickBot="1" x14ac:dyDescent="0.35">
      <c r="A337" s="384" t="s">
        <v>61</v>
      </c>
      <c r="B337" s="385"/>
      <c r="C337" s="385"/>
      <c r="D337" s="385"/>
      <c r="E337" s="385"/>
      <c r="F337" s="386"/>
      <c r="G337" s="90"/>
      <c r="H337" s="90"/>
      <c r="I337" s="90"/>
      <c r="J337" s="90"/>
      <c r="K337" s="90"/>
      <c r="L337" s="90"/>
      <c r="M337" s="29"/>
      <c r="N337" s="29"/>
      <c r="O337" s="29"/>
      <c r="P337" s="29"/>
      <c r="Q337" s="29"/>
      <c r="R337" s="29"/>
      <c r="S337" s="29"/>
      <c r="T337" s="29"/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F337" s="29"/>
      <c r="AG337" s="29"/>
      <c r="AH337" s="29"/>
      <c r="AI337" s="29"/>
      <c r="AJ337" s="29"/>
      <c r="AK337" s="29"/>
      <c r="AL337" s="29"/>
      <c r="AM337" s="29"/>
      <c r="AN337" s="29"/>
      <c r="AO337" s="29"/>
    </row>
    <row r="338" spans="1:41" customFormat="1" ht="31.8" thickBot="1" x14ac:dyDescent="0.35">
      <c r="A338" s="177" t="s">
        <v>3</v>
      </c>
      <c r="B338" s="323" t="s">
        <v>245</v>
      </c>
      <c r="C338" s="178" t="s">
        <v>244</v>
      </c>
      <c r="D338" s="178" t="s">
        <v>246</v>
      </c>
      <c r="E338" s="323" t="s">
        <v>247</v>
      </c>
      <c r="F338" s="181" t="s">
        <v>4</v>
      </c>
      <c r="G338" s="29"/>
      <c r="H338" s="90"/>
      <c r="I338" s="90"/>
      <c r="J338" s="90"/>
      <c r="K338" s="90"/>
      <c r="L338" s="90"/>
      <c r="M338" s="29"/>
      <c r="N338" s="29"/>
      <c r="O338" s="29"/>
      <c r="P338" s="29"/>
      <c r="Q338" s="29"/>
      <c r="R338" s="29"/>
      <c r="S338" s="29"/>
      <c r="T338" s="29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F338" s="29"/>
      <c r="AG338" s="29"/>
      <c r="AH338" s="29"/>
      <c r="AI338" s="29"/>
      <c r="AJ338" s="29"/>
      <c r="AK338" s="29"/>
      <c r="AL338" s="29"/>
      <c r="AM338" s="29"/>
      <c r="AN338" s="29"/>
      <c r="AO338" s="29"/>
    </row>
    <row r="339" spans="1:41" customFormat="1" ht="24" customHeight="1" x14ac:dyDescent="0.3">
      <c r="A339" s="3" t="s">
        <v>235</v>
      </c>
      <c r="B339" s="5">
        <f t="shared" ref="B339:C344" si="81">B317</f>
        <v>2729.1226263888889</v>
      </c>
      <c r="C339" s="5">
        <f t="shared" si="81"/>
        <v>218.3298101111111</v>
      </c>
      <c r="D339" s="5">
        <f t="shared" ref="D339:D346" si="82">D328</f>
        <v>87.331924044444449</v>
      </c>
      <c r="E339" s="81">
        <f>B307</f>
        <v>4.1999999999999997E-3</v>
      </c>
      <c r="F339" s="7">
        <f t="shared" ref="F339:F346" si="83">(B339+C339+D339)*E339</f>
        <v>12.746094314286664</v>
      </c>
      <c r="G339" s="29"/>
      <c r="H339" s="175"/>
      <c r="I339" s="175"/>
      <c r="J339" s="175"/>
      <c r="K339" s="175"/>
      <c r="L339" s="175"/>
      <c r="M339" s="29"/>
      <c r="N339" s="29"/>
      <c r="O339" s="29"/>
      <c r="P339" s="29"/>
      <c r="Q339" s="29"/>
      <c r="R339" s="29"/>
      <c r="S339" s="29"/>
      <c r="T339" s="29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F339" s="29"/>
      <c r="AG339" s="29"/>
      <c r="AH339" s="29"/>
      <c r="AI339" s="29"/>
      <c r="AJ339" s="29"/>
      <c r="AK339" s="29"/>
      <c r="AL339" s="29"/>
      <c r="AM339" s="29"/>
      <c r="AN339" s="29"/>
      <c r="AO339" s="29"/>
    </row>
    <row r="340" spans="1:41" customFormat="1" ht="24" customHeight="1" thickBot="1" x14ac:dyDescent="0.35">
      <c r="A340" s="2" t="s">
        <v>238</v>
      </c>
      <c r="B340" s="74">
        <f t="shared" si="81"/>
        <v>3183.9763974537036</v>
      </c>
      <c r="C340" s="74">
        <f t="shared" si="81"/>
        <v>254.71811179629628</v>
      </c>
      <c r="D340" s="74">
        <f t="shared" si="82"/>
        <v>101.88724471851852</v>
      </c>
      <c r="E340" s="235">
        <f>B307</f>
        <v>4.1999999999999997E-3</v>
      </c>
      <c r="F340" s="78">
        <f t="shared" si="83"/>
        <v>14.870443366667777</v>
      </c>
      <c r="G340" s="29"/>
      <c r="H340" s="175"/>
      <c r="I340" s="175"/>
      <c r="J340" s="175"/>
      <c r="K340" s="175"/>
      <c r="L340" s="175"/>
      <c r="M340" s="29"/>
      <c r="N340" s="29"/>
      <c r="O340" s="29"/>
      <c r="P340" s="29"/>
      <c r="Q340" s="29"/>
      <c r="R340" s="29"/>
      <c r="S340" s="29"/>
      <c r="T340" s="29"/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F340" s="29"/>
      <c r="AG340" s="29"/>
      <c r="AH340" s="29"/>
      <c r="AI340" s="29"/>
      <c r="AJ340" s="29"/>
      <c r="AK340" s="29"/>
      <c r="AL340" s="29"/>
      <c r="AM340" s="29"/>
      <c r="AN340" s="29"/>
      <c r="AO340" s="29"/>
    </row>
    <row r="341" spans="1:41" customFormat="1" ht="24" customHeight="1" x14ac:dyDescent="0.3">
      <c r="A341" s="1" t="s">
        <v>352</v>
      </c>
      <c r="B341" s="5">
        <f t="shared" si="81"/>
        <v>2977.6525930555558</v>
      </c>
      <c r="C341" s="5">
        <f t="shared" si="81"/>
        <v>238.21220744444446</v>
      </c>
      <c r="D341" s="5">
        <f t="shared" si="82"/>
        <v>95.284882977777784</v>
      </c>
      <c r="E341" s="81">
        <f>B307</f>
        <v>4.1999999999999997E-3</v>
      </c>
      <c r="F341" s="7">
        <f t="shared" si="83"/>
        <v>13.906828670606668</v>
      </c>
      <c r="G341" s="29"/>
      <c r="H341" s="175"/>
      <c r="I341" s="175"/>
      <c r="J341" s="175"/>
      <c r="K341" s="175"/>
      <c r="L341" s="175"/>
      <c r="M341" s="29"/>
      <c r="N341" s="29"/>
      <c r="O341" s="29"/>
      <c r="P341" s="29"/>
      <c r="Q341" s="29"/>
      <c r="R341" s="29"/>
      <c r="S341" s="29"/>
      <c r="T341" s="29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F341" s="29"/>
      <c r="AG341" s="29"/>
      <c r="AH341" s="29"/>
      <c r="AI341" s="29"/>
      <c r="AJ341" s="29"/>
      <c r="AK341" s="29"/>
      <c r="AL341" s="29"/>
      <c r="AM341" s="29"/>
      <c r="AN341" s="29"/>
      <c r="AO341" s="29"/>
    </row>
    <row r="342" spans="1:41" customFormat="1" ht="24" customHeight="1" thickBot="1" x14ac:dyDescent="0.35">
      <c r="A342" s="2" t="s">
        <v>374</v>
      </c>
      <c r="B342" s="65">
        <f t="shared" si="81"/>
        <v>3400.7723800925928</v>
      </c>
      <c r="C342" s="65">
        <f t="shared" si="81"/>
        <v>272.06179040740744</v>
      </c>
      <c r="D342" s="65">
        <f t="shared" si="82"/>
        <v>108.82471616296299</v>
      </c>
      <c r="E342" s="80">
        <f>B307</f>
        <v>4.1999999999999997E-3</v>
      </c>
      <c r="F342" s="67">
        <f t="shared" si="83"/>
        <v>15.882967323984444</v>
      </c>
      <c r="G342" s="29"/>
      <c r="H342" s="175"/>
      <c r="I342" s="175"/>
      <c r="J342" s="175"/>
      <c r="K342" s="175"/>
      <c r="L342" s="175"/>
      <c r="M342" s="29"/>
      <c r="N342" s="29"/>
      <c r="O342" s="29"/>
      <c r="P342" s="29"/>
      <c r="Q342" s="29"/>
      <c r="R342" s="29"/>
      <c r="S342" s="29"/>
      <c r="T342" s="29"/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F342" s="29"/>
      <c r="AG342" s="29"/>
      <c r="AH342" s="29"/>
      <c r="AI342" s="29"/>
      <c r="AJ342" s="29"/>
      <c r="AK342" s="29"/>
      <c r="AL342" s="29"/>
      <c r="AM342" s="29"/>
      <c r="AN342" s="29"/>
      <c r="AO342" s="29"/>
    </row>
    <row r="343" spans="1:41" customFormat="1" ht="24" customHeight="1" thickBot="1" x14ac:dyDescent="0.35">
      <c r="A343" s="1" t="s">
        <v>353</v>
      </c>
      <c r="B343" s="5">
        <f t="shared" si="81"/>
        <v>2977.6525930555558</v>
      </c>
      <c r="C343" s="5">
        <f t="shared" si="81"/>
        <v>238.21220744444446</v>
      </c>
      <c r="D343" s="5">
        <f t="shared" si="82"/>
        <v>95.284882977777784</v>
      </c>
      <c r="E343" s="80">
        <f>B307</f>
        <v>4.1999999999999997E-3</v>
      </c>
      <c r="F343" s="7">
        <f t="shared" ref="F343:F344" si="84">(B343+C343+D343)*E343</f>
        <v>13.906828670606668</v>
      </c>
      <c r="G343" s="29"/>
      <c r="H343" s="175"/>
      <c r="I343" s="175"/>
      <c r="J343" s="175"/>
      <c r="K343" s="175"/>
      <c r="L343" s="175"/>
      <c r="M343" s="29"/>
      <c r="N343" s="29"/>
      <c r="O343" s="29"/>
      <c r="P343" s="29"/>
      <c r="Q343" s="29"/>
      <c r="R343" s="29"/>
      <c r="S343" s="29"/>
      <c r="T343" s="29"/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F343" s="29"/>
      <c r="AG343" s="29"/>
      <c r="AH343" s="29"/>
      <c r="AI343" s="29"/>
      <c r="AJ343" s="29"/>
      <c r="AK343" s="29"/>
      <c r="AL343" s="29"/>
      <c r="AM343" s="29"/>
      <c r="AN343" s="29"/>
      <c r="AO343" s="29"/>
    </row>
    <row r="344" spans="1:41" customFormat="1" ht="24" customHeight="1" thickBot="1" x14ac:dyDescent="0.35">
      <c r="A344" s="2" t="s">
        <v>375</v>
      </c>
      <c r="B344" s="65">
        <f t="shared" si="81"/>
        <v>3400.7723800925928</v>
      </c>
      <c r="C344" s="65">
        <f t="shared" si="81"/>
        <v>272.06179040740744</v>
      </c>
      <c r="D344" s="65">
        <f t="shared" si="82"/>
        <v>108.82471616296299</v>
      </c>
      <c r="E344" s="80">
        <f>B307</f>
        <v>4.1999999999999997E-3</v>
      </c>
      <c r="F344" s="67">
        <f t="shared" si="84"/>
        <v>15.882967323984444</v>
      </c>
      <c r="G344" s="29"/>
      <c r="H344" s="175"/>
      <c r="I344" s="175"/>
      <c r="J344" s="175"/>
      <c r="K344" s="175"/>
      <c r="L344" s="175"/>
      <c r="M344" s="29"/>
      <c r="N344" s="29"/>
      <c r="O344" s="29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F344" s="29"/>
      <c r="AG344" s="29"/>
      <c r="AH344" s="29"/>
      <c r="AI344" s="29"/>
      <c r="AJ344" s="29"/>
      <c r="AK344" s="29"/>
      <c r="AL344" s="29"/>
      <c r="AM344" s="29"/>
      <c r="AN344" s="29"/>
      <c r="AO344" s="29"/>
    </row>
    <row r="345" spans="1:41" customFormat="1" ht="24" customHeight="1" x14ac:dyDescent="0.3">
      <c r="A345" s="1" t="s">
        <v>236</v>
      </c>
      <c r="B345" s="10">
        <f t="shared" ref="B345:C345" si="85">B323</f>
        <v>2977.6525930555558</v>
      </c>
      <c r="C345" s="10">
        <f t="shared" si="85"/>
        <v>238.21220744444446</v>
      </c>
      <c r="D345" s="10">
        <f t="shared" si="82"/>
        <v>95.284882977777784</v>
      </c>
      <c r="E345" s="187">
        <f>B307</f>
        <v>4.1999999999999997E-3</v>
      </c>
      <c r="F345" s="9">
        <f t="shared" si="83"/>
        <v>13.906828670606668</v>
      </c>
      <c r="G345" s="29"/>
      <c r="H345" s="175"/>
      <c r="I345" s="175"/>
      <c r="J345" s="175"/>
      <c r="K345" s="175"/>
      <c r="L345" s="175"/>
      <c r="M345" s="29"/>
      <c r="N345" s="29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F345" s="29"/>
      <c r="AG345" s="29"/>
      <c r="AH345" s="29"/>
      <c r="AI345" s="29"/>
      <c r="AJ345" s="29"/>
      <c r="AK345" s="29"/>
      <c r="AL345" s="29"/>
      <c r="AM345" s="29"/>
      <c r="AN345" s="29"/>
      <c r="AO345" s="29"/>
    </row>
    <row r="346" spans="1:41" customFormat="1" ht="24" customHeight="1" thickBot="1" x14ac:dyDescent="0.35">
      <c r="A346" s="2" t="s">
        <v>237</v>
      </c>
      <c r="B346" s="65">
        <f t="shared" ref="B346:C346" si="86">B324</f>
        <v>3432.5063641203706</v>
      </c>
      <c r="C346" s="65">
        <f t="shared" si="86"/>
        <v>274.60050912962964</v>
      </c>
      <c r="D346" s="65">
        <f t="shared" si="82"/>
        <v>109.84020365185187</v>
      </c>
      <c r="E346" s="80">
        <f>B307</f>
        <v>4.1999999999999997E-3</v>
      </c>
      <c r="F346" s="67">
        <f t="shared" si="83"/>
        <v>16.031177722987778</v>
      </c>
      <c r="G346" s="29"/>
      <c r="H346" s="175"/>
      <c r="I346" s="175"/>
      <c r="J346" s="175"/>
      <c r="K346" s="175"/>
      <c r="L346" s="175"/>
      <c r="M346" s="29"/>
      <c r="N346" s="29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F346" s="29"/>
      <c r="AG346" s="29"/>
      <c r="AH346" s="29"/>
      <c r="AI346" s="29"/>
      <c r="AJ346" s="29"/>
      <c r="AK346" s="29"/>
      <c r="AL346" s="29"/>
      <c r="AM346" s="29"/>
      <c r="AN346" s="29"/>
      <c r="AO346" s="29"/>
    </row>
    <row r="347" spans="1:41" customFormat="1" ht="24" customHeight="1" x14ac:dyDescent="0.3">
      <c r="A347" s="52"/>
      <c r="B347" s="176"/>
      <c r="C347" s="176"/>
      <c r="D347" s="176"/>
      <c r="E347" s="179"/>
      <c r="F347" s="175"/>
      <c r="G347" s="29"/>
      <c r="H347" s="175"/>
      <c r="I347" s="175"/>
      <c r="J347" s="175"/>
      <c r="K347" s="175"/>
      <c r="L347" s="175"/>
      <c r="M347" s="29"/>
      <c r="N347" s="29"/>
      <c r="O347" s="29"/>
      <c r="P347" s="29"/>
      <c r="Q347" s="29"/>
      <c r="R347" s="29"/>
      <c r="S347" s="29"/>
      <c r="T347" s="29"/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F347" s="29"/>
      <c r="AG347" s="29"/>
      <c r="AH347" s="29"/>
      <c r="AI347" s="29"/>
      <c r="AJ347" s="29"/>
      <c r="AK347" s="29"/>
      <c r="AL347" s="29"/>
      <c r="AM347" s="29"/>
      <c r="AN347" s="29"/>
      <c r="AO347" s="29"/>
    </row>
    <row r="348" spans="1:41" ht="24" customHeight="1" x14ac:dyDescent="0.3">
      <c r="A348" s="380" t="s">
        <v>62</v>
      </c>
      <c r="B348" s="381"/>
      <c r="C348" s="381"/>
      <c r="D348" s="381"/>
      <c r="E348" s="381"/>
      <c r="F348" s="381"/>
      <c r="G348" s="381"/>
      <c r="H348" s="381"/>
    </row>
    <row r="349" spans="1:41" customFormat="1" ht="24" customHeight="1" thickBot="1" x14ac:dyDescent="0.35">
      <c r="A349" s="52"/>
      <c r="B349" s="176"/>
      <c r="C349" s="176"/>
      <c r="D349" s="176"/>
      <c r="E349" s="179"/>
      <c r="F349" s="175"/>
      <c r="G349" s="29"/>
      <c r="H349" s="175"/>
      <c r="I349" s="175"/>
      <c r="J349" s="175"/>
      <c r="K349" s="175"/>
      <c r="L349" s="175"/>
      <c r="M349" s="29"/>
      <c r="N349" s="29"/>
      <c r="O349" s="29"/>
      <c r="P349" s="29"/>
      <c r="Q349" s="29"/>
      <c r="R349" s="29"/>
      <c r="S349" s="29"/>
      <c r="T349" s="29"/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F349" s="29"/>
      <c r="AG349" s="29"/>
      <c r="AH349" s="29"/>
      <c r="AI349" s="29"/>
      <c r="AJ349" s="29"/>
      <c r="AK349" s="29"/>
      <c r="AL349" s="29"/>
      <c r="AM349" s="29"/>
      <c r="AN349" s="29"/>
      <c r="AO349" s="29"/>
    </row>
    <row r="350" spans="1:41" customFormat="1" ht="36" customHeight="1" thickBot="1" x14ac:dyDescent="0.35">
      <c r="A350" s="389" t="s">
        <v>248</v>
      </c>
      <c r="B350" s="390"/>
      <c r="C350" s="390"/>
      <c r="D350" s="391"/>
      <c r="E350" s="90"/>
      <c r="F350" s="90"/>
      <c r="G350" s="90"/>
      <c r="H350" s="90"/>
      <c r="I350" s="90"/>
      <c r="J350" s="90"/>
      <c r="K350" s="90"/>
      <c r="L350" s="90"/>
      <c r="M350" s="29"/>
      <c r="N350" s="29"/>
      <c r="O350" s="29"/>
      <c r="P350" s="29"/>
      <c r="Q350" s="29"/>
      <c r="R350" s="29"/>
      <c r="S350" s="29"/>
      <c r="T350" s="29"/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F350" s="29"/>
      <c r="AG350" s="29"/>
      <c r="AH350" s="29"/>
      <c r="AI350" s="29"/>
      <c r="AJ350" s="29"/>
      <c r="AK350" s="29"/>
      <c r="AL350" s="29"/>
      <c r="AM350" s="29"/>
      <c r="AN350" s="29"/>
      <c r="AO350" s="29"/>
    </row>
    <row r="351" spans="1:41" customFormat="1" ht="47.4" thickBot="1" x14ac:dyDescent="0.35">
      <c r="A351" s="177" t="s">
        <v>3</v>
      </c>
      <c r="B351" s="178" t="s">
        <v>1</v>
      </c>
      <c r="C351" s="180" t="s">
        <v>249</v>
      </c>
      <c r="D351" s="181" t="s">
        <v>4</v>
      </c>
      <c r="E351" s="90"/>
      <c r="F351" s="90"/>
      <c r="G351" s="90"/>
      <c r="H351" s="90"/>
      <c r="I351" s="90"/>
      <c r="J351" s="90"/>
      <c r="K351" s="90"/>
      <c r="L351" s="90"/>
      <c r="M351" s="29"/>
      <c r="N351" s="29"/>
      <c r="O351" s="29"/>
      <c r="P351" s="29"/>
      <c r="Q351" s="29"/>
      <c r="R351" s="29"/>
      <c r="S351" s="29"/>
      <c r="T351" s="29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F351" s="29"/>
      <c r="AG351" s="29"/>
      <c r="AH351" s="29"/>
      <c r="AI351" s="29"/>
      <c r="AJ351" s="29"/>
      <c r="AK351" s="29"/>
      <c r="AL351" s="29"/>
      <c r="AM351" s="29"/>
      <c r="AN351" s="29"/>
      <c r="AO351" s="29"/>
    </row>
    <row r="352" spans="1:41" customFormat="1" ht="24" customHeight="1" x14ac:dyDescent="0.3">
      <c r="A352" s="3" t="s">
        <v>235</v>
      </c>
      <c r="B352" s="5">
        <f t="shared" ref="B352:B359" si="87">H75+B293+D293</f>
        <v>3375.4454263888888</v>
      </c>
      <c r="C352" s="5">
        <f t="shared" ref="C352:C359" si="88">C293</f>
        <v>1086.1908053027778</v>
      </c>
      <c r="D352" s="7">
        <f t="shared" ref="D352:D359" si="89">B352+C352</f>
        <v>4461.6362316916666</v>
      </c>
      <c r="E352" s="175"/>
      <c r="F352" s="175"/>
      <c r="G352" s="175"/>
      <c r="H352" s="175"/>
      <c r="I352" s="175"/>
      <c r="J352" s="175"/>
      <c r="K352" s="175"/>
      <c r="L352" s="175"/>
      <c r="M352" s="29"/>
      <c r="N352" s="29"/>
      <c r="O352" s="29"/>
      <c r="P352" s="29"/>
      <c r="Q352" s="29"/>
      <c r="R352" s="29"/>
      <c r="S352" s="29"/>
      <c r="T352" s="29"/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F352" s="29"/>
      <c r="AG352" s="29"/>
      <c r="AH352" s="29"/>
      <c r="AI352" s="29"/>
      <c r="AJ352" s="29"/>
      <c r="AK352" s="29"/>
      <c r="AL352" s="29"/>
      <c r="AM352" s="29"/>
      <c r="AN352" s="29"/>
      <c r="AO352" s="29"/>
    </row>
    <row r="353" spans="1:41" customFormat="1" ht="24" customHeight="1" thickBot="1" x14ac:dyDescent="0.35">
      <c r="A353" s="2" t="s">
        <v>238</v>
      </c>
      <c r="B353" s="65">
        <f t="shared" si="87"/>
        <v>3830.2991974537035</v>
      </c>
      <c r="C353" s="65">
        <f t="shared" si="88"/>
        <v>1267.2226061865742</v>
      </c>
      <c r="D353" s="67">
        <f t="shared" si="89"/>
        <v>5097.5218036402775</v>
      </c>
      <c r="E353" s="175"/>
      <c r="F353" s="175"/>
      <c r="G353" s="175"/>
      <c r="H353" s="175"/>
      <c r="I353" s="175"/>
      <c r="J353" s="175"/>
      <c r="K353" s="175"/>
      <c r="L353" s="175"/>
      <c r="M353" s="29"/>
      <c r="N353" s="29"/>
      <c r="O353" s="29"/>
      <c r="P353" s="29"/>
      <c r="Q353" s="29"/>
      <c r="R353" s="29"/>
      <c r="S353" s="29"/>
      <c r="T353" s="29"/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F353" s="29"/>
      <c r="AG353" s="29"/>
      <c r="AH353" s="29"/>
      <c r="AI353" s="29"/>
      <c r="AJ353" s="29"/>
      <c r="AK353" s="29"/>
      <c r="AL353" s="29"/>
      <c r="AM353" s="29"/>
      <c r="AN353" s="29"/>
      <c r="AO353" s="29"/>
    </row>
    <row r="354" spans="1:41" customFormat="1" ht="24" customHeight="1" x14ac:dyDescent="0.3">
      <c r="A354" s="1" t="s">
        <v>352</v>
      </c>
      <c r="B354" s="5">
        <f t="shared" si="87"/>
        <v>3623.9753930555557</v>
      </c>
      <c r="C354" s="5">
        <f t="shared" si="88"/>
        <v>1185.1057320361115</v>
      </c>
      <c r="D354" s="7">
        <f t="shared" si="89"/>
        <v>4809.0811250916668</v>
      </c>
      <c r="E354" s="175"/>
      <c r="F354" s="175"/>
      <c r="G354" s="175"/>
      <c r="H354" s="175"/>
      <c r="I354" s="175"/>
      <c r="J354" s="175"/>
      <c r="K354" s="175"/>
      <c r="L354" s="175"/>
      <c r="M354" s="29"/>
      <c r="N354" s="29"/>
      <c r="O354" s="29"/>
      <c r="P354" s="29"/>
      <c r="Q354" s="29"/>
      <c r="R354" s="29"/>
      <c r="S354" s="29"/>
      <c r="T354" s="29"/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F354" s="29"/>
      <c r="AG354" s="29"/>
      <c r="AH354" s="29"/>
      <c r="AI354" s="29"/>
      <c r="AJ354" s="29"/>
      <c r="AK354" s="29"/>
      <c r="AL354" s="29"/>
      <c r="AM354" s="29"/>
      <c r="AN354" s="29"/>
      <c r="AO354" s="29"/>
    </row>
    <row r="355" spans="1:41" customFormat="1" ht="24" customHeight="1" thickBot="1" x14ac:dyDescent="0.35">
      <c r="A355" s="2" t="s">
        <v>374</v>
      </c>
      <c r="B355" s="65">
        <f t="shared" si="87"/>
        <v>4047.0951800925927</v>
      </c>
      <c r="C355" s="65">
        <f t="shared" si="88"/>
        <v>1353.5074072768521</v>
      </c>
      <c r="D355" s="67">
        <f t="shared" si="89"/>
        <v>5400.6025873694452</v>
      </c>
      <c r="E355" s="175"/>
      <c r="F355" s="175"/>
      <c r="G355" s="175"/>
      <c r="H355" s="175"/>
      <c r="I355" s="175"/>
      <c r="J355" s="175"/>
      <c r="K355" s="175"/>
      <c r="L355" s="175"/>
      <c r="M355" s="29"/>
      <c r="N355" s="29"/>
      <c r="O355" s="29"/>
      <c r="P355" s="29"/>
      <c r="Q355" s="29"/>
      <c r="R355" s="29"/>
      <c r="S355" s="29"/>
      <c r="T355" s="29"/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F355" s="29"/>
      <c r="AG355" s="29"/>
      <c r="AH355" s="29"/>
      <c r="AI355" s="29"/>
      <c r="AJ355" s="29"/>
      <c r="AK355" s="29"/>
      <c r="AL355" s="29"/>
      <c r="AM355" s="29"/>
      <c r="AN355" s="29"/>
      <c r="AO355" s="29"/>
    </row>
    <row r="356" spans="1:41" customFormat="1" ht="24" customHeight="1" x14ac:dyDescent="0.3">
      <c r="A356" s="1" t="s">
        <v>353</v>
      </c>
      <c r="B356" s="5">
        <f t="shared" si="87"/>
        <v>3533.493293055556</v>
      </c>
      <c r="C356" s="5">
        <f t="shared" si="88"/>
        <v>1185.1057320361115</v>
      </c>
      <c r="D356" s="7">
        <f t="shared" ref="D356:D357" si="90">B356+C356</f>
        <v>4718.5990250916675</v>
      </c>
      <c r="E356" s="175"/>
      <c r="F356" s="175"/>
      <c r="G356" s="175"/>
      <c r="H356" s="175"/>
      <c r="I356" s="175"/>
      <c r="J356" s="175"/>
      <c r="K356" s="175"/>
      <c r="L356" s="175"/>
      <c r="M356" s="29"/>
      <c r="N356" s="29"/>
      <c r="O356" s="29"/>
      <c r="P356" s="29"/>
      <c r="Q356" s="29"/>
      <c r="R356" s="29"/>
      <c r="S356" s="29"/>
      <c r="T356" s="29"/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F356" s="29"/>
      <c r="AG356" s="29"/>
      <c r="AH356" s="29"/>
      <c r="AI356" s="29"/>
      <c r="AJ356" s="29"/>
      <c r="AK356" s="29"/>
      <c r="AL356" s="29"/>
      <c r="AM356" s="29"/>
      <c r="AN356" s="29"/>
      <c r="AO356" s="29"/>
    </row>
    <row r="357" spans="1:41" customFormat="1" ht="24" customHeight="1" thickBot="1" x14ac:dyDescent="0.35">
      <c r="A357" s="2" t="s">
        <v>375</v>
      </c>
      <c r="B357" s="65">
        <f t="shared" si="87"/>
        <v>3956.613080092593</v>
      </c>
      <c r="C357" s="65">
        <f t="shared" si="88"/>
        <v>1353.5074072768521</v>
      </c>
      <c r="D357" s="67">
        <f t="shared" si="90"/>
        <v>5310.1204873694451</v>
      </c>
      <c r="E357" s="175"/>
      <c r="F357" s="175"/>
      <c r="G357" s="175"/>
      <c r="H357" s="175"/>
      <c r="I357" s="175"/>
      <c r="J357" s="175"/>
      <c r="K357" s="175"/>
      <c r="L357" s="175"/>
      <c r="M357" s="29"/>
      <c r="N357" s="29"/>
      <c r="O357" s="29"/>
      <c r="P357" s="29"/>
      <c r="Q357" s="29"/>
      <c r="R357" s="29"/>
      <c r="S357" s="29"/>
      <c r="T357" s="29"/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F357" s="29"/>
      <c r="AG357" s="29"/>
      <c r="AH357" s="29"/>
      <c r="AI357" s="29"/>
      <c r="AJ357" s="29"/>
      <c r="AK357" s="29"/>
      <c r="AL357" s="29"/>
      <c r="AM357" s="29"/>
      <c r="AN357" s="29"/>
      <c r="AO357" s="29"/>
    </row>
    <row r="358" spans="1:41" customFormat="1" ht="24" customHeight="1" x14ac:dyDescent="0.3">
      <c r="A358" s="1" t="s">
        <v>236</v>
      </c>
      <c r="B358" s="10">
        <f t="shared" si="87"/>
        <v>3623.9753930555557</v>
      </c>
      <c r="C358" s="10">
        <f t="shared" si="88"/>
        <v>1185.1057320361115</v>
      </c>
      <c r="D358" s="9">
        <f t="shared" si="89"/>
        <v>4809.0811250916668</v>
      </c>
      <c r="E358" s="175"/>
      <c r="F358" s="175"/>
      <c r="G358" s="175"/>
      <c r="H358" s="175"/>
      <c r="I358" s="175"/>
      <c r="J358" s="175"/>
      <c r="K358" s="175"/>
      <c r="L358" s="175"/>
      <c r="M358" s="29"/>
      <c r="N358" s="29"/>
      <c r="O358" s="29"/>
      <c r="P358" s="29"/>
      <c r="Q358" s="29"/>
      <c r="R358" s="29"/>
      <c r="S358" s="29"/>
      <c r="T358" s="29"/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F358" s="29"/>
      <c r="AG358" s="29"/>
      <c r="AH358" s="29"/>
      <c r="AI358" s="29"/>
      <c r="AJ358" s="29"/>
      <c r="AK358" s="29"/>
      <c r="AL358" s="29"/>
      <c r="AM358" s="29"/>
      <c r="AN358" s="29"/>
      <c r="AO358" s="29"/>
    </row>
    <row r="359" spans="1:41" customFormat="1" ht="24" customHeight="1" thickBot="1" x14ac:dyDescent="0.35">
      <c r="A359" s="2" t="s">
        <v>237</v>
      </c>
      <c r="B359" s="65">
        <f t="shared" si="87"/>
        <v>4078.8291641203705</v>
      </c>
      <c r="C359" s="65">
        <f t="shared" si="88"/>
        <v>1366.1375329199077</v>
      </c>
      <c r="D359" s="67">
        <f t="shared" si="89"/>
        <v>5444.9666970402777</v>
      </c>
      <c r="E359" s="175"/>
      <c r="F359" s="175"/>
      <c r="G359" s="175"/>
      <c r="H359" s="175"/>
      <c r="I359" s="175"/>
      <c r="J359" s="175"/>
      <c r="K359" s="175"/>
      <c r="L359" s="175"/>
      <c r="M359" s="29"/>
      <c r="N359" s="29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F359" s="29"/>
      <c r="AG359" s="29"/>
      <c r="AH359" s="29"/>
      <c r="AI359" s="29"/>
      <c r="AJ359" s="29"/>
      <c r="AK359" s="29"/>
      <c r="AL359" s="29"/>
      <c r="AM359" s="29"/>
      <c r="AN359" s="29"/>
      <c r="AO359" s="29"/>
    </row>
    <row r="360" spans="1:41" customFormat="1" ht="24" customHeight="1" thickBot="1" x14ac:dyDescent="0.35">
      <c r="A360" s="182"/>
      <c r="B360" s="176"/>
      <c r="C360" s="176"/>
      <c r="D360" s="176"/>
      <c r="E360" s="175"/>
      <c r="F360" s="175"/>
      <c r="G360" s="175"/>
      <c r="H360" s="175"/>
      <c r="I360" s="175"/>
      <c r="J360" s="175"/>
      <c r="K360" s="175"/>
      <c r="L360" s="175"/>
      <c r="M360" s="29"/>
      <c r="N360" s="29"/>
      <c r="O360" s="29"/>
      <c r="P360" s="29"/>
      <c r="Q360" s="29"/>
      <c r="R360" s="29"/>
      <c r="S360" s="29"/>
      <c r="T360" s="29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F360" s="29"/>
      <c r="AG360" s="29"/>
      <c r="AH360" s="29"/>
      <c r="AI360" s="29"/>
      <c r="AJ360" s="29"/>
      <c r="AK360" s="29"/>
      <c r="AL360" s="29"/>
      <c r="AM360" s="29"/>
      <c r="AN360" s="29"/>
      <c r="AO360" s="29"/>
    </row>
    <row r="361" spans="1:41" ht="24" customHeight="1" thickBot="1" x14ac:dyDescent="0.35">
      <c r="A361" s="377" t="s">
        <v>250</v>
      </c>
      <c r="B361" s="371"/>
      <c r="C361" s="371"/>
      <c r="D361" s="372"/>
    </row>
    <row r="362" spans="1:41" ht="31.8" thickBot="1" x14ac:dyDescent="0.35">
      <c r="A362" s="12" t="s">
        <v>3</v>
      </c>
      <c r="B362" s="13" t="s">
        <v>1</v>
      </c>
      <c r="C362" s="27" t="s">
        <v>60</v>
      </c>
      <c r="D362" s="14" t="s">
        <v>4</v>
      </c>
    </row>
    <row r="363" spans="1:41" ht="24" customHeight="1" x14ac:dyDescent="0.3">
      <c r="A363" s="3" t="s">
        <v>235</v>
      </c>
      <c r="B363" s="5">
        <f t="shared" ref="B363:B370" si="91">D160</f>
        <v>218.3298101111111</v>
      </c>
      <c r="C363" s="151">
        <v>0.4</v>
      </c>
      <c r="D363" s="7">
        <f t="shared" ref="D363:D370" si="92">B363*C363</f>
        <v>87.331924044444449</v>
      </c>
    </row>
    <row r="364" spans="1:41" ht="24" customHeight="1" thickBot="1" x14ac:dyDescent="0.35">
      <c r="A364" s="2" t="s">
        <v>238</v>
      </c>
      <c r="B364" s="6">
        <f t="shared" si="91"/>
        <v>254.71811179629628</v>
      </c>
      <c r="C364" s="71">
        <f>C363</f>
        <v>0.4</v>
      </c>
      <c r="D364" s="8">
        <f t="shared" si="92"/>
        <v>101.88724471851852</v>
      </c>
    </row>
    <row r="365" spans="1:41" ht="24" customHeight="1" x14ac:dyDescent="0.3">
      <c r="A365" s="1" t="s">
        <v>352</v>
      </c>
      <c r="B365" s="5">
        <f t="shared" si="91"/>
        <v>238.21220744444446</v>
      </c>
      <c r="C365" s="151">
        <v>0.4</v>
      </c>
      <c r="D365" s="7">
        <f t="shared" si="92"/>
        <v>95.284882977777784</v>
      </c>
    </row>
    <row r="366" spans="1:41" ht="24" customHeight="1" thickBot="1" x14ac:dyDescent="0.35">
      <c r="A366" s="2" t="s">
        <v>374</v>
      </c>
      <c r="B366" s="6">
        <f t="shared" si="91"/>
        <v>272.06179040740744</v>
      </c>
      <c r="C366" s="71">
        <f>C365</f>
        <v>0.4</v>
      </c>
      <c r="D366" s="8">
        <f t="shared" si="92"/>
        <v>108.82471616296299</v>
      </c>
    </row>
    <row r="367" spans="1:41" ht="24" customHeight="1" x14ac:dyDescent="0.3">
      <c r="A367" s="1" t="s">
        <v>353</v>
      </c>
      <c r="B367" s="5">
        <f t="shared" si="91"/>
        <v>238.21220744444446</v>
      </c>
      <c r="C367" s="151">
        <v>0.4</v>
      </c>
      <c r="D367" s="7">
        <f t="shared" ref="D367:D368" si="93">B367*C367</f>
        <v>95.284882977777784</v>
      </c>
    </row>
    <row r="368" spans="1:41" ht="24" customHeight="1" thickBot="1" x14ac:dyDescent="0.35">
      <c r="A368" s="2" t="s">
        <v>375</v>
      </c>
      <c r="B368" s="6">
        <f t="shared" si="91"/>
        <v>272.06179040740744</v>
      </c>
      <c r="C368" s="71">
        <f>C367</f>
        <v>0.4</v>
      </c>
      <c r="D368" s="8">
        <f t="shared" si="93"/>
        <v>108.82471616296299</v>
      </c>
    </row>
    <row r="369" spans="1:41" ht="24" customHeight="1" x14ac:dyDescent="0.3">
      <c r="A369" s="1" t="s">
        <v>236</v>
      </c>
      <c r="B369" s="5">
        <f t="shared" si="91"/>
        <v>238.21220744444446</v>
      </c>
      <c r="C369" s="70">
        <v>0.4</v>
      </c>
      <c r="D369" s="7">
        <f t="shared" si="92"/>
        <v>95.284882977777784</v>
      </c>
    </row>
    <row r="370" spans="1:41" ht="24" customHeight="1" thickBot="1" x14ac:dyDescent="0.35">
      <c r="A370" s="2" t="s">
        <v>237</v>
      </c>
      <c r="B370" s="65">
        <f t="shared" si="91"/>
        <v>274.60050912962964</v>
      </c>
      <c r="C370" s="72">
        <v>0.4</v>
      </c>
      <c r="D370" s="67">
        <f t="shared" si="92"/>
        <v>109.84020365185187</v>
      </c>
    </row>
    <row r="371" spans="1:41" ht="24" customHeight="1" thickBot="1" x14ac:dyDescent="0.35"/>
    <row r="372" spans="1:41" customFormat="1" ht="24" customHeight="1" thickBot="1" x14ac:dyDescent="0.35">
      <c r="A372" s="384" t="s">
        <v>71</v>
      </c>
      <c r="B372" s="385"/>
      <c r="C372" s="385"/>
      <c r="D372" s="385"/>
      <c r="E372" s="385"/>
      <c r="F372" s="386"/>
      <c r="G372" s="90"/>
      <c r="H372" s="90"/>
      <c r="I372" s="90"/>
      <c r="J372" s="90"/>
      <c r="K372" s="90"/>
      <c r="L372" s="90"/>
      <c r="M372" s="29"/>
      <c r="N372" s="29"/>
      <c r="O372" s="29"/>
      <c r="P372" s="29"/>
      <c r="Q372" s="29"/>
      <c r="R372" s="29"/>
      <c r="S372" s="29"/>
      <c r="T372" s="29"/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F372" s="29"/>
      <c r="AG372" s="29"/>
      <c r="AH372" s="29"/>
      <c r="AI372" s="29"/>
      <c r="AJ372" s="29"/>
      <c r="AK372" s="29"/>
      <c r="AL372" s="29"/>
      <c r="AM372" s="29"/>
      <c r="AN372" s="29"/>
      <c r="AO372" s="29"/>
    </row>
    <row r="373" spans="1:41" customFormat="1" ht="30" customHeight="1" thickBot="1" x14ac:dyDescent="0.35">
      <c r="A373" s="183" t="s">
        <v>3</v>
      </c>
      <c r="B373" s="184" t="s">
        <v>1</v>
      </c>
      <c r="C373" s="184" t="s">
        <v>251</v>
      </c>
      <c r="D373" s="185" t="s">
        <v>246</v>
      </c>
      <c r="E373" s="185" t="s">
        <v>2</v>
      </c>
      <c r="F373" s="186" t="s">
        <v>4</v>
      </c>
      <c r="G373" s="90"/>
      <c r="H373" s="90"/>
      <c r="I373" s="90"/>
      <c r="J373" s="90"/>
      <c r="K373" s="90"/>
      <c r="L373" s="90"/>
      <c r="M373" s="29"/>
      <c r="N373" s="29"/>
      <c r="O373" s="29"/>
      <c r="P373" s="29"/>
      <c r="Q373" s="29"/>
      <c r="R373" s="29"/>
      <c r="S373" s="29"/>
      <c r="T373" s="29"/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F373" s="29"/>
      <c r="AG373" s="29"/>
      <c r="AH373" s="29"/>
      <c r="AI373" s="29"/>
      <c r="AJ373" s="29"/>
      <c r="AK373" s="29"/>
      <c r="AL373" s="29"/>
      <c r="AM373" s="29"/>
      <c r="AN373" s="29"/>
      <c r="AO373" s="29"/>
    </row>
    <row r="374" spans="1:41" customFormat="1" ht="24" customHeight="1" x14ac:dyDescent="0.3">
      <c r="A374" s="3" t="s">
        <v>235</v>
      </c>
      <c r="B374" s="5">
        <f t="shared" ref="B374:C381" si="94">B352</f>
        <v>3375.4454263888888</v>
      </c>
      <c r="C374" s="5">
        <f t="shared" si="94"/>
        <v>1086.1908053027778</v>
      </c>
      <c r="D374" s="5">
        <f t="shared" ref="D374:D381" si="95">D363</f>
        <v>87.331924044444449</v>
      </c>
      <c r="E374" s="81">
        <f>B308</f>
        <v>1.9400000000000001E-2</v>
      </c>
      <c r="F374" s="7">
        <f t="shared" ref="F374:F381" si="96">(B374+C374+D374)*E374</f>
        <v>88.249982221280561</v>
      </c>
      <c r="G374" s="175"/>
      <c r="H374" s="175"/>
      <c r="I374" s="175"/>
      <c r="J374" s="175"/>
      <c r="K374" s="175"/>
      <c r="L374" s="175"/>
      <c r="M374" s="29"/>
      <c r="N374" s="29"/>
      <c r="O374" s="29"/>
      <c r="P374" s="29"/>
      <c r="Q374" s="29"/>
      <c r="R374" s="29"/>
      <c r="S374" s="29"/>
      <c r="T374" s="29"/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F374" s="29"/>
      <c r="AG374" s="29"/>
      <c r="AH374" s="29"/>
      <c r="AI374" s="29"/>
      <c r="AJ374" s="29"/>
      <c r="AK374" s="29"/>
      <c r="AL374" s="29"/>
      <c r="AM374" s="29"/>
      <c r="AN374" s="29"/>
      <c r="AO374" s="29"/>
    </row>
    <row r="375" spans="1:41" customFormat="1" ht="24" customHeight="1" thickBot="1" x14ac:dyDescent="0.35">
      <c r="A375" s="2" t="s">
        <v>238</v>
      </c>
      <c r="B375" s="65">
        <f t="shared" si="94"/>
        <v>3830.2991974537035</v>
      </c>
      <c r="C375" s="65">
        <f t="shared" si="94"/>
        <v>1267.2226061865742</v>
      </c>
      <c r="D375" s="65">
        <f t="shared" si="95"/>
        <v>101.88724471851852</v>
      </c>
      <c r="E375" s="80">
        <f>B308</f>
        <v>1.9400000000000001E-2</v>
      </c>
      <c r="F375" s="67">
        <f t="shared" si="96"/>
        <v>100.86853553816064</v>
      </c>
      <c r="G375" s="175"/>
      <c r="H375" s="175"/>
      <c r="I375" s="175"/>
      <c r="J375" s="175"/>
      <c r="K375" s="175"/>
      <c r="L375" s="175"/>
      <c r="M375" s="29"/>
      <c r="N375" s="29"/>
      <c r="O375" s="29"/>
      <c r="P375" s="29"/>
      <c r="Q375" s="29"/>
      <c r="R375" s="29"/>
      <c r="S375" s="29"/>
      <c r="T375" s="29"/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F375" s="29"/>
      <c r="AG375" s="29"/>
      <c r="AH375" s="29"/>
      <c r="AI375" s="29"/>
      <c r="AJ375" s="29"/>
      <c r="AK375" s="29"/>
      <c r="AL375" s="29"/>
      <c r="AM375" s="29"/>
      <c r="AN375" s="29"/>
      <c r="AO375" s="29"/>
    </row>
    <row r="376" spans="1:41" customFormat="1" ht="24" customHeight="1" x14ac:dyDescent="0.3">
      <c r="A376" s="1" t="s">
        <v>352</v>
      </c>
      <c r="B376" s="5">
        <f t="shared" si="94"/>
        <v>3623.9753930555557</v>
      </c>
      <c r="C376" s="5">
        <f t="shared" si="94"/>
        <v>1185.1057320361115</v>
      </c>
      <c r="D376" s="5">
        <f t="shared" si="95"/>
        <v>95.284882977777784</v>
      </c>
      <c r="E376" s="81">
        <f>B308</f>
        <v>1.9400000000000001E-2</v>
      </c>
      <c r="F376" s="7">
        <f t="shared" si="96"/>
        <v>95.144700556547221</v>
      </c>
      <c r="G376" s="175"/>
      <c r="H376" s="175"/>
      <c r="I376" s="175"/>
      <c r="J376" s="175"/>
      <c r="K376" s="175"/>
      <c r="L376" s="175"/>
      <c r="M376" s="29"/>
      <c r="N376" s="29"/>
      <c r="O376" s="29"/>
      <c r="P376" s="29"/>
      <c r="Q376" s="29"/>
      <c r="R376" s="29"/>
      <c r="S376" s="29"/>
      <c r="T376" s="29"/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F376" s="29"/>
      <c r="AG376" s="29"/>
      <c r="AH376" s="29"/>
      <c r="AI376" s="29"/>
      <c r="AJ376" s="29"/>
      <c r="AK376" s="29"/>
      <c r="AL376" s="29"/>
      <c r="AM376" s="29"/>
      <c r="AN376" s="29"/>
      <c r="AO376" s="29"/>
    </row>
    <row r="377" spans="1:41" customFormat="1" ht="24" customHeight="1" thickBot="1" x14ac:dyDescent="0.35">
      <c r="A377" s="2" t="s">
        <v>374</v>
      </c>
      <c r="B377" s="65">
        <f t="shared" si="94"/>
        <v>4047.0951800925927</v>
      </c>
      <c r="C377" s="65">
        <f t="shared" si="94"/>
        <v>1353.5074072768521</v>
      </c>
      <c r="D377" s="65">
        <f t="shared" si="95"/>
        <v>108.82471616296299</v>
      </c>
      <c r="E377" s="80">
        <f>B308</f>
        <v>1.9400000000000001E-2</v>
      </c>
      <c r="F377" s="67">
        <f t="shared" si="96"/>
        <v>106.88288968852873</v>
      </c>
      <c r="G377" s="175"/>
      <c r="H377" s="175"/>
      <c r="I377" s="175"/>
      <c r="J377" s="175"/>
      <c r="K377" s="175"/>
      <c r="L377" s="175"/>
      <c r="M377" s="29"/>
      <c r="N377" s="29"/>
      <c r="O377" s="29"/>
      <c r="P377" s="29"/>
      <c r="Q377" s="29"/>
      <c r="R377" s="29"/>
      <c r="S377" s="29"/>
      <c r="T377" s="29"/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F377" s="29"/>
      <c r="AG377" s="29"/>
      <c r="AH377" s="29"/>
      <c r="AI377" s="29"/>
      <c r="AJ377" s="29"/>
      <c r="AK377" s="29"/>
      <c r="AL377" s="29"/>
      <c r="AM377" s="29"/>
      <c r="AN377" s="29"/>
      <c r="AO377" s="29"/>
    </row>
    <row r="378" spans="1:41" customFormat="1" ht="24" customHeight="1" x14ac:dyDescent="0.3">
      <c r="A378" s="1" t="s">
        <v>353</v>
      </c>
      <c r="B378" s="5">
        <f t="shared" si="94"/>
        <v>3533.493293055556</v>
      </c>
      <c r="C378" s="5">
        <f t="shared" si="94"/>
        <v>1185.1057320361115</v>
      </c>
      <c r="D378" s="5">
        <f t="shared" si="95"/>
        <v>95.284882977777784</v>
      </c>
      <c r="E378" s="81">
        <f>B308</f>
        <v>1.9400000000000001E-2</v>
      </c>
      <c r="F378" s="7">
        <f t="shared" ref="F378:F379" si="97">(B378+C378+D378)*E378</f>
        <v>93.389347816547243</v>
      </c>
      <c r="G378" s="175"/>
      <c r="H378" s="175"/>
      <c r="I378" s="175"/>
      <c r="J378" s="175"/>
      <c r="K378" s="175"/>
      <c r="L378" s="175"/>
      <c r="M378" s="29"/>
      <c r="N378" s="29"/>
      <c r="O378" s="29"/>
      <c r="P378" s="29"/>
      <c r="Q378" s="29"/>
      <c r="R378" s="29"/>
      <c r="S378" s="29"/>
      <c r="T378" s="29"/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F378" s="29"/>
      <c r="AG378" s="29"/>
      <c r="AH378" s="29"/>
      <c r="AI378" s="29"/>
      <c r="AJ378" s="29"/>
      <c r="AK378" s="29"/>
      <c r="AL378" s="29"/>
      <c r="AM378" s="29"/>
      <c r="AN378" s="29"/>
      <c r="AO378" s="29"/>
    </row>
    <row r="379" spans="1:41" customFormat="1" ht="24" customHeight="1" thickBot="1" x14ac:dyDescent="0.35">
      <c r="A379" s="2" t="s">
        <v>375</v>
      </c>
      <c r="B379" s="65">
        <f t="shared" si="94"/>
        <v>3956.613080092593</v>
      </c>
      <c r="C379" s="65">
        <f t="shared" si="94"/>
        <v>1353.5074072768521</v>
      </c>
      <c r="D379" s="65">
        <f t="shared" si="95"/>
        <v>108.82471616296299</v>
      </c>
      <c r="E379" s="80">
        <f>B308</f>
        <v>1.9400000000000001E-2</v>
      </c>
      <c r="F379" s="67">
        <f t="shared" si="97"/>
        <v>105.12753694852873</v>
      </c>
      <c r="G379" s="175"/>
      <c r="H379" s="175"/>
      <c r="I379" s="175"/>
      <c r="J379" s="175"/>
      <c r="K379" s="175"/>
      <c r="L379" s="175"/>
      <c r="M379" s="29"/>
      <c r="N379" s="29"/>
      <c r="O379" s="29"/>
      <c r="P379" s="29"/>
      <c r="Q379" s="29"/>
      <c r="R379" s="29"/>
      <c r="S379" s="29"/>
      <c r="T379" s="29"/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F379" s="29"/>
      <c r="AG379" s="29"/>
      <c r="AH379" s="29"/>
      <c r="AI379" s="29"/>
      <c r="AJ379" s="29"/>
      <c r="AK379" s="29"/>
      <c r="AL379" s="29"/>
      <c r="AM379" s="29"/>
      <c r="AN379" s="29"/>
      <c r="AO379" s="29"/>
    </row>
    <row r="380" spans="1:41" customFormat="1" ht="24" customHeight="1" x14ac:dyDescent="0.3">
      <c r="A380" s="1" t="s">
        <v>236</v>
      </c>
      <c r="B380" s="10">
        <f t="shared" si="94"/>
        <v>3623.9753930555557</v>
      </c>
      <c r="C380" s="10">
        <f t="shared" si="94"/>
        <v>1185.1057320361115</v>
      </c>
      <c r="D380" s="10">
        <f t="shared" si="95"/>
        <v>95.284882977777784</v>
      </c>
      <c r="E380" s="187">
        <f>B308</f>
        <v>1.9400000000000001E-2</v>
      </c>
      <c r="F380" s="9">
        <f t="shared" si="96"/>
        <v>95.144700556547221</v>
      </c>
      <c r="G380" s="175"/>
      <c r="H380" s="175"/>
      <c r="I380" s="175"/>
      <c r="J380" s="175"/>
      <c r="K380" s="175"/>
      <c r="L380" s="175"/>
      <c r="M380" s="29"/>
      <c r="N380" s="29"/>
      <c r="O380" s="29"/>
      <c r="P380" s="29"/>
      <c r="Q380" s="29"/>
      <c r="R380" s="29"/>
      <c r="S380" s="29"/>
      <c r="T380" s="29"/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F380" s="29"/>
      <c r="AG380" s="29"/>
      <c r="AH380" s="29"/>
      <c r="AI380" s="29"/>
      <c r="AJ380" s="29"/>
      <c r="AK380" s="29"/>
      <c r="AL380" s="29"/>
      <c r="AM380" s="29"/>
      <c r="AN380" s="29"/>
      <c r="AO380" s="29"/>
    </row>
    <row r="381" spans="1:41" customFormat="1" ht="24" customHeight="1" thickBot="1" x14ac:dyDescent="0.35">
      <c r="A381" s="2" t="s">
        <v>237</v>
      </c>
      <c r="B381" s="65">
        <f t="shared" si="94"/>
        <v>4078.8291641203705</v>
      </c>
      <c r="C381" s="65">
        <f t="shared" si="94"/>
        <v>1366.1375329199077</v>
      </c>
      <c r="D381" s="65">
        <f t="shared" si="95"/>
        <v>109.84020365185187</v>
      </c>
      <c r="E381" s="80">
        <f>B308</f>
        <v>1.9400000000000001E-2</v>
      </c>
      <c r="F381" s="67">
        <f t="shared" si="96"/>
        <v>107.76325387342732</v>
      </c>
      <c r="G381" s="175"/>
      <c r="H381" s="175"/>
      <c r="I381" s="175"/>
      <c r="J381" s="175"/>
      <c r="K381" s="175"/>
      <c r="L381" s="175"/>
      <c r="M381" s="29"/>
      <c r="N381" s="29"/>
      <c r="O381" s="29"/>
      <c r="P381" s="29"/>
      <c r="Q381" s="29"/>
      <c r="R381" s="29"/>
      <c r="S381" s="29"/>
      <c r="T381" s="29"/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F381" s="29"/>
      <c r="AG381" s="29"/>
      <c r="AH381" s="29"/>
      <c r="AI381" s="29"/>
      <c r="AJ381" s="29"/>
      <c r="AK381" s="29"/>
      <c r="AL381" s="29"/>
      <c r="AM381" s="29"/>
      <c r="AN381" s="29"/>
      <c r="AO381" s="29"/>
    </row>
    <row r="383" spans="1:41" ht="24" customHeight="1" x14ac:dyDescent="0.3">
      <c r="A383" s="380" t="s">
        <v>63</v>
      </c>
      <c r="B383" s="381"/>
      <c r="C383" s="381"/>
      <c r="D383" s="381"/>
      <c r="E383" s="381"/>
      <c r="F383" s="381"/>
      <c r="G383" s="381"/>
      <c r="H383" s="381"/>
    </row>
    <row r="384" spans="1:41" ht="24" customHeight="1" thickBot="1" x14ac:dyDescent="0.35"/>
    <row r="385" spans="1:5" ht="24" customHeight="1" thickBot="1" x14ac:dyDescent="0.35">
      <c r="A385" s="373" t="s">
        <v>66</v>
      </c>
      <c r="B385" s="374"/>
      <c r="C385" s="374"/>
      <c r="D385" s="374"/>
      <c r="E385" s="375"/>
    </row>
    <row r="386" spans="1:5" ht="31.5" customHeight="1" thickBot="1" x14ac:dyDescent="0.35">
      <c r="A386" s="12" t="s">
        <v>3</v>
      </c>
      <c r="B386" s="15" t="s">
        <v>128</v>
      </c>
      <c r="C386" s="15" t="s">
        <v>65</v>
      </c>
      <c r="D386" s="15" t="s">
        <v>64</v>
      </c>
      <c r="E386" s="14" t="s">
        <v>4</v>
      </c>
    </row>
    <row r="387" spans="1:5" ht="24" customHeight="1" x14ac:dyDescent="0.3">
      <c r="A387" s="3" t="s">
        <v>235</v>
      </c>
      <c r="B387" s="32">
        <f t="shared" ref="B387:B394" si="98">-D90</f>
        <v>-190.40390416666665</v>
      </c>
      <c r="C387" s="32">
        <f t="shared" ref="C387:C394" si="99">-D101</f>
        <v>-190.40390416666665</v>
      </c>
      <c r="D387" s="32">
        <f t="shared" ref="D387:D394" si="100">-E112</f>
        <v>-63.467968055555545</v>
      </c>
      <c r="E387" s="33">
        <f t="shared" ref="E387:E394" si="101">SUM(B387:D387)</f>
        <v>-444.27577638888886</v>
      </c>
    </row>
    <row r="388" spans="1:5" ht="24" customHeight="1" thickBot="1" x14ac:dyDescent="0.35">
      <c r="A388" s="2" t="s">
        <v>238</v>
      </c>
      <c r="B388" s="30">
        <f t="shared" si="98"/>
        <v>-222.13788819444443</v>
      </c>
      <c r="C388" s="30">
        <f t="shared" si="99"/>
        <v>-222.13788819444443</v>
      </c>
      <c r="D388" s="30">
        <f t="shared" si="100"/>
        <v>-74.045962731481467</v>
      </c>
      <c r="E388" s="31">
        <f t="shared" si="101"/>
        <v>-518.32173912037035</v>
      </c>
    </row>
    <row r="389" spans="1:5" ht="24" customHeight="1" x14ac:dyDescent="0.3">
      <c r="A389" s="1" t="s">
        <v>352</v>
      </c>
      <c r="B389" s="32">
        <f t="shared" si="98"/>
        <v>-207.74320416666666</v>
      </c>
      <c r="C389" s="32">
        <f t="shared" si="99"/>
        <v>-207.74320416666666</v>
      </c>
      <c r="D389" s="32">
        <f t="shared" si="100"/>
        <v>-69.247734722222219</v>
      </c>
      <c r="E389" s="33">
        <f t="shared" ref="E389:E390" si="102">SUM(B389:D389)</f>
        <v>-484.73414305555553</v>
      </c>
    </row>
    <row r="390" spans="1:5" ht="24" customHeight="1" thickBot="1" x14ac:dyDescent="0.35">
      <c r="A390" s="2" t="s">
        <v>374</v>
      </c>
      <c r="B390" s="30">
        <f t="shared" si="98"/>
        <v>-239.47718819444447</v>
      </c>
      <c r="C390" s="30">
        <f t="shared" si="99"/>
        <v>-207.74320416666666</v>
      </c>
      <c r="D390" s="30">
        <f t="shared" si="100"/>
        <v>-79.825729398148155</v>
      </c>
      <c r="E390" s="31">
        <f t="shared" si="102"/>
        <v>-527.04612175925922</v>
      </c>
    </row>
    <row r="391" spans="1:5" ht="24" customHeight="1" x14ac:dyDescent="0.3">
      <c r="A391" s="1" t="s">
        <v>353</v>
      </c>
      <c r="B391" s="32">
        <f t="shared" si="98"/>
        <v>-207.74320416666666</v>
      </c>
      <c r="C391" s="32">
        <f t="shared" si="99"/>
        <v>-207.74320416666666</v>
      </c>
      <c r="D391" s="32">
        <f t="shared" si="100"/>
        <v>-69.247734722222219</v>
      </c>
      <c r="E391" s="33">
        <f t="shared" ref="E391:E392" si="103">SUM(B391:D391)</f>
        <v>-484.73414305555553</v>
      </c>
    </row>
    <row r="392" spans="1:5" ht="24" customHeight="1" thickBot="1" x14ac:dyDescent="0.35">
      <c r="A392" s="2" t="s">
        <v>375</v>
      </c>
      <c r="B392" s="30">
        <f t="shared" si="98"/>
        <v>-239.47718819444447</v>
      </c>
      <c r="C392" s="30">
        <f t="shared" si="99"/>
        <v>-207.74320416666666</v>
      </c>
      <c r="D392" s="30">
        <f t="shared" si="100"/>
        <v>-79.825729398148155</v>
      </c>
      <c r="E392" s="31">
        <f t="shared" si="103"/>
        <v>-527.04612175925922</v>
      </c>
    </row>
    <row r="393" spans="1:5" ht="24" customHeight="1" x14ac:dyDescent="0.3">
      <c r="A393" s="1" t="s">
        <v>236</v>
      </c>
      <c r="B393" s="32">
        <f t="shared" si="98"/>
        <v>-207.74320416666666</v>
      </c>
      <c r="C393" s="32">
        <f t="shared" si="99"/>
        <v>-207.74320416666666</v>
      </c>
      <c r="D393" s="32">
        <f t="shared" si="100"/>
        <v>-69.247734722222219</v>
      </c>
      <c r="E393" s="33">
        <f t="shared" si="101"/>
        <v>-484.73414305555553</v>
      </c>
    </row>
    <row r="394" spans="1:5" ht="24" customHeight="1" thickBot="1" x14ac:dyDescent="0.35">
      <c r="A394" s="2" t="s">
        <v>237</v>
      </c>
      <c r="B394" s="66">
        <f t="shared" si="98"/>
        <v>-239.47718819444447</v>
      </c>
      <c r="C394" s="66">
        <f t="shared" si="99"/>
        <v>-239.47718819444447</v>
      </c>
      <c r="D394" s="66">
        <f t="shared" si="100"/>
        <v>-79.825729398148155</v>
      </c>
      <c r="E394" s="236">
        <f t="shared" si="101"/>
        <v>-558.78010578703709</v>
      </c>
    </row>
    <row r="395" spans="1:5" ht="24" customHeight="1" thickBot="1" x14ac:dyDescent="0.35"/>
    <row r="396" spans="1:5" ht="24" customHeight="1" thickBot="1" x14ac:dyDescent="0.35">
      <c r="A396" s="373" t="s">
        <v>67</v>
      </c>
      <c r="B396" s="374"/>
      <c r="C396" s="374"/>
      <c r="D396" s="375"/>
    </row>
    <row r="397" spans="1:5" ht="24" customHeight="1" thickBot="1" x14ac:dyDescent="0.35">
      <c r="A397" s="12" t="s">
        <v>3</v>
      </c>
      <c r="B397" s="13" t="s">
        <v>7</v>
      </c>
      <c r="C397" s="13" t="s">
        <v>2</v>
      </c>
      <c r="D397" s="14" t="s">
        <v>4</v>
      </c>
    </row>
    <row r="398" spans="1:5" ht="24" customHeight="1" x14ac:dyDescent="0.3">
      <c r="A398" s="3" t="s">
        <v>235</v>
      </c>
      <c r="B398" s="32">
        <f t="shared" ref="B398:B405" si="104">E387</f>
        <v>-444.27577638888886</v>
      </c>
      <c r="C398" s="81">
        <f>$B$309</f>
        <v>0</v>
      </c>
      <c r="D398" s="33">
        <f t="shared" ref="D398:D405" si="105">B398*C398</f>
        <v>0</v>
      </c>
    </row>
    <row r="399" spans="1:5" ht="24" customHeight="1" thickBot="1" x14ac:dyDescent="0.35">
      <c r="A399" s="4" t="s">
        <v>238</v>
      </c>
      <c r="B399" s="30">
        <f t="shared" si="104"/>
        <v>-518.32173912037035</v>
      </c>
      <c r="C399" s="79">
        <f t="shared" ref="C399:C405" si="106">$B$309</f>
        <v>0</v>
      </c>
      <c r="D399" s="31">
        <f t="shared" si="105"/>
        <v>0</v>
      </c>
    </row>
    <row r="400" spans="1:5" ht="24" customHeight="1" x14ac:dyDescent="0.3">
      <c r="A400" s="3" t="s">
        <v>352</v>
      </c>
      <c r="B400" s="32">
        <f t="shared" si="104"/>
        <v>-484.73414305555553</v>
      </c>
      <c r="C400" s="81">
        <f>$B$309</f>
        <v>0</v>
      </c>
      <c r="D400" s="33">
        <f t="shared" si="105"/>
        <v>0</v>
      </c>
    </row>
    <row r="401" spans="1:8" ht="24" customHeight="1" thickBot="1" x14ac:dyDescent="0.35">
      <c r="A401" s="4" t="s">
        <v>374</v>
      </c>
      <c r="B401" s="30">
        <f t="shared" si="104"/>
        <v>-527.04612175925922</v>
      </c>
      <c r="C401" s="79">
        <f t="shared" si="106"/>
        <v>0</v>
      </c>
      <c r="D401" s="31">
        <f t="shared" si="105"/>
        <v>0</v>
      </c>
    </row>
    <row r="402" spans="1:8" ht="24" customHeight="1" x14ac:dyDescent="0.3">
      <c r="A402" s="3" t="s">
        <v>353</v>
      </c>
      <c r="B402" s="32">
        <f t="shared" si="104"/>
        <v>-484.73414305555553</v>
      </c>
      <c r="C402" s="81">
        <f>$B$309</f>
        <v>0</v>
      </c>
      <c r="D402" s="33">
        <f t="shared" ref="D402:D403" si="107">B402*C402</f>
        <v>0</v>
      </c>
    </row>
    <row r="403" spans="1:8" ht="24" customHeight="1" thickBot="1" x14ac:dyDescent="0.35">
      <c r="A403" s="2" t="s">
        <v>375</v>
      </c>
      <c r="B403" s="30">
        <f t="shared" si="104"/>
        <v>-527.04612175925922</v>
      </c>
      <c r="C403" s="79">
        <f t="shared" si="106"/>
        <v>0</v>
      </c>
      <c r="D403" s="31">
        <f t="shared" si="107"/>
        <v>0</v>
      </c>
    </row>
    <row r="404" spans="1:8" ht="24" customHeight="1" x14ac:dyDescent="0.3">
      <c r="A404" s="3" t="s">
        <v>236</v>
      </c>
      <c r="B404" s="32">
        <f t="shared" si="104"/>
        <v>-484.73414305555553</v>
      </c>
      <c r="C404" s="81">
        <f t="shared" si="106"/>
        <v>0</v>
      </c>
      <c r="D404" s="33">
        <f t="shared" si="105"/>
        <v>0</v>
      </c>
    </row>
    <row r="405" spans="1:8" ht="24" customHeight="1" thickBot="1" x14ac:dyDescent="0.35">
      <c r="A405" s="2" t="s">
        <v>237</v>
      </c>
      <c r="B405" s="66">
        <f t="shared" si="104"/>
        <v>-558.78010578703709</v>
      </c>
      <c r="C405" s="80">
        <f t="shared" si="106"/>
        <v>0</v>
      </c>
      <c r="D405" s="236">
        <f t="shared" si="105"/>
        <v>0</v>
      </c>
    </row>
    <row r="407" spans="1:8" ht="24" customHeight="1" x14ac:dyDescent="0.3">
      <c r="A407" s="378" t="s">
        <v>47</v>
      </c>
      <c r="B407" s="378"/>
      <c r="C407" s="378"/>
      <c r="D407" s="378"/>
      <c r="E407" s="378"/>
      <c r="F407" s="378"/>
      <c r="G407" s="378"/>
      <c r="H407" s="378"/>
    </row>
    <row r="408" spans="1:8" ht="24" customHeight="1" thickBot="1" x14ac:dyDescent="0.35"/>
    <row r="409" spans="1:8" ht="24" customHeight="1" thickBot="1" x14ac:dyDescent="0.35">
      <c r="A409" s="373" t="s">
        <v>47</v>
      </c>
      <c r="B409" s="374"/>
      <c r="C409" s="374"/>
      <c r="D409" s="374"/>
      <c r="E409" s="375"/>
    </row>
    <row r="410" spans="1:8" ht="24" customHeight="1" thickBot="1" x14ac:dyDescent="0.35">
      <c r="A410" s="12" t="s">
        <v>3</v>
      </c>
      <c r="B410" s="13" t="s">
        <v>68</v>
      </c>
      <c r="C410" s="13" t="s">
        <v>69</v>
      </c>
      <c r="D410" s="13" t="s">
        <v>70</v>
      </c>
      <c r="E410" s="14" t="s">
        <v>12</v>
      </c>
    </row>
    <row r="411" spans="1:8" ht="24" customHeight="1" x14ac:dyDescent="0.3">
      <c r="A411" s="3" t="s">
        <v>235</v>
      </c>
      <c r="B411" s="5">
        <f t="shared" ref="B411:B418" si="108">F339</f>
        <v>12.746094314286664</v>
      </c>
      <c r="C411" s="5">
        <f t="shared" ref="C411:C418" si="109">F374</f>
        <v>88.249982221280561</v>
      </c>
      <c r="D411" s="32">
        <f>D398</f>
        <v>0</v>
      </c>
      <c r="E411" s="7">
        <f t="shared" ref="E411:E418" si="110">SUM(B411:D411)</f>
        <v>100.99607653556723</v>
      </c>
    </row>
    <row r="412" spans="1:8" ht="24" customHeight="1" thickBot="1" x14ac:dyDescent="0.35">
      <c r="A412" s="2" t="s">
        <v>238</v>
      </c>
      <c r="B412" s="65">
        <f t="shared" si="108"/>
        <v>14.870443366667777</v>
      </c>
      <c r="C412" s="65">
        <f t="shared" si="109"/>
        <v>100.86853553816064</v>
      </c>
      <c r="D412" s="66">
        <f>D399</f>
        <v>0</v>
      </c>
      <c r="E412" s="67">
        <f t="shared" si="110"/>
        <v>115.73897890482841</v>
      </c>
    </row>
    <row r="413" spans="1:8" ht="24" customHeight="1" x14ac:dyDescent="0.3">
      <c r="A413" s="3" t="s">
        <v>352</v>
      </c>
      <c r="B413" s="5">
        <f t="shared" si="108"/>
        <v>13.906828670606668</v>
      </c>
      <c r="C413" s="5">
        <f t="shared" si="109"/>
        <v>95.144700556547221</v>
      </c>
      <c r="D413" s="32">
        <f>D404</f>
        <v>0</v>
      </c>
      <c r="E413" s="7">
        <f t="shared" ref="E413:E414" si="111">SUM(B413:D413)</f>
        <v>109.05152922715389</v>
      </c>
    </row>
    <row r="414" spans="1:8" ht="24" customHeight="1" thickBot="1" x14ac:dyDescent="0.35">
      <c r="A414" s="4" t="s">
        <v>374</v>
      </c>
      <c r="B414" s="65">
        <f t="shared" si="108"/>
        <v>15.882967323984444</v>
      </c>
      <c r="C414" s="65">
        <f t="shared" si="109"/>
        <v>106.88288968852873</v>
      </c>
      <c r="D414" s="66">
        <f>D405</f>
        <v>0</v>
      </c>
      <c r="E414" s="67">
        <f t="shared" si="111"/>
        <v>122.76585701251318</v>
      </c>
    </row>
    <row r="415" spans="1:8" ht="24" customHeight="1" x14ac:dyDescent="0.3">
      <c r="A415" s="3" t="s">
        <v>353</v>
      </c>
      <c r="B415" s="5">
        <f t="shared" si="108"/>
        <v>13.906828670606668</v>
      </c>
      <c r="C415" s="5">
        <f t="shared" si="109"/>
        <v>93.389347816547243</v>
      </c>
      <c r="D415" s="32">
        <f>D406</f>
        <v>0</v>
      </c>
      <c r="E415" s="7">
        <f t="shared" ref="E415:E416" si="112">SUM(B415:D415)</f>
        <v>107.29617648715391</v>
      </c>
    </row>
    <row r="416" spans="1:8" ht="24" customHeight="1" thickBot="1" x14ac:dyDescent="0.35">
      <c r="A416" s="2" t="s">
        <v>375</v>
      </c>
      <c r="B416" s="65">
        <f t="shared" si="108"/>
        <v>15.882967323984444</v>
      </c>
      <c r="C416" s="65">
        <f t="shared" si="109"/>
        <v>105.12753694852873</v>
      </c>
      <c r="D416" s="66">
        <f>D407</f>
        <v>0</v>
      </c>
      <c r="E416" s="67">
        <f t="shared" si="112"/>
        <v>121.01050427251317</v>
      </c>
    </row>
    <row r="417" spans="1:8" ht="24" customHeight="1" x14ac:dyDescent="0.3">
      <c r="A417" s="3" t="s">
        <v>236</v>
      </c>
      <c r="B417" s="5">
        <f t="shared" si="108"/>
        <v>13.906828670606668</v>
      </c>
      <c r="C417" s="5">
        <f t="shared" si="109"/>
        <v>95.144700556547221</v>
      </c>
      <c r="D417" s="32">
        <f>D404</f>
        <v>0</v>
      </c>
      <c r="E417" s="7">
        <f t="shared" si="110"/>
        <v>109.05152922715389</v>
      </c>
    </row>
    <row r="418" spans="1:8" ht="24" customHeight="1" thickBot="1" x14ac:dyDescent="0.35">
      <c r="A418" s="2" t="s">
        <v>237</v>
      </c>
      <c r="B418" s="65">
        <f t="shared" si="108"/>
        <v>16.031177722987778</v>
      </c>
      <c r="C418" s="65">
        <f t="shared" si="109"/>
        <v>107.76325387342732</v>
      </c>
      <c r="D418" s="66">
        <f>D405</f>
        <v>0</v>
      </c>
      <c r="E418" s="67">
        <f t="shared" si="110"/>
        <v>123.79443159641509</v>
      </c>
    </row>
    <row r="420" spans="1:8" ht="24" customHeight="1" x14ac:dyDescent="0.3">
      <c r="A420" s="378" t="s">
        <v>72</v>
      </c>
      <c r="B420" s="378"/>
      <c r="C420" s="378"/>
      <c r="D420" s="378"/>
      <c r="E420" s="378"/>
      <c r="F420" s="378"/>
      <c r="G420" s="378"/>
      <c r="H420" s="378"/>
    </row>
    <row r="421" spans="1:8" ht="24" customHeight="1" thickBot="1" x14ac:dyDescent="0.35"/>
    <row r="422" spans="1:8" ht="31.95" customHeight="1" thickBot="1" x14ac:dyDescent="0.35">
      <c r="A422" s="377" t="s">
        <v>136</v>
      </c>
      <c r="B422" s="371"/>
      <c r="C422" s="371"/>
      <c r="D422" s="371"/>
      <c r="E422" s="372"/>
    </row>
    <row r="423" spans="1:8" ht="24" customHeight="1" thickBot="1" x14ac:dyDescent="0.35">
      <c r="A423" s="377" t="s">
        <v>76</v>
      </c>
      <c r="B423" s="371"/>
      <c r="C423" s="371"/>
      <c r="D423" s="371"/>
      <c r="E423" s="372"/>
    </row>
    <row r="424" spans="1:8" ht="24" customHeight="1" thickBot="1" x14ac:dyDescent="0.35">
      <c r="A424" s="387" t="s">
        <v>3</v>
      </c>
      <c r="B424" s="387" t="s">
        <v>77</v>
      </c>
      <c r="C424" s="387" t="s">
        <v>78</v>
      </c>
      <c r="D424" s="377" t="s">
        <v>79</v>
      </c>
      <c r="E424" s="372"/>
    </row>
    <row r="425" spans="1:8" ht="29.25" customHeight="1" thickBot="1" x14ac:dyDescent="0.35">
      <c r="A425" s="388"/>
      <c r="B425" s="388"/>
      <c r="C425" s="388"/>
      <c r="D425" s="53" t="s">
        <v>80</v>
      </c>
      <c r="E425" s="53" t="s">
        <v>81</v>
      </c>
    </row>
    <row r="426" spans="1:8" ht="24" customHeight="1" x14ac:dyDescent="0.3">
      <c r="A426" s="40" t="s">
        <v>16</v>
      </c>
      <c r="B426" s="41">
        <v>1</v>
      </c>
      <c r="C426" s="42">
        <v>30</v>
      </c>
      <c r="D426" s="43">
        <v>0.5</v>
      </c>
      <c r="E426" s="353">
        <f t="shared" ref="E426:E437" si="113">(B426*C426)*D426</f>
        <v>15</v>
      </c>
    </row>
    <row r="427" spans="1:8" ht="24" customHeight="1" x14ac:dyDescent="0.3">
      <c r="A427" s="23" t="s">
        <v>82</v>
      </c>
      <c r="B427" s="44">
        <v>1</v>
      </c>
      <c r="C427" s="45">
        <v>1</v>
      </c>
      <c r="D427" s="46">
        <v>1</v>
      </c>
      <c r="E427" s="354">
        <f t="shared" si="113"/>
        <v>1</v>
      </c>
    </row>
    <row r="428" spans="1:8" ht="24" customHeight="1" x14ac:dyDescent="0.3">
      <c r="A428" s="23" t="s">
        <v>83</v>
      </c>
      <c r="B428" s="44">
        <v>9.2200000000000004E-2</v>
      </c>
      <c r="C428" s="45">
        <v>15</v>
      </c>
      <c r="D428" s="46">
        <v>0.5</v>
      </c>
      <c r="E428" s="354">
        <f t="shared" si="113"/>
        <v>0.6915</v>
      </c>
    </row>
    <row r="429" spans="1:8" ht="24" customHeight="1" x14ac:dyDescent="0.3">
      <c r="A429" s="23" t="s">
        <v>84</v>
      </c>
      <c r="B429" s="44">
        <v>1</v>
      </c>
      <c r="C429" s="45">
        <v>5</v>
      </c>
      <c r="D429" s="46">
        <v>0.5</v>
      </c>
      <c r="E429" s="354">
        <f t="shared" si="113"/>
        <v>2.5</v>
      </c>
    </row>
    <row r="430" spans="1:8" ht="24" customHeight="1" x14ac:dyDescent="0.3">
      <c r="A430" s="23" t="s">
        <v>85</v>
      </c>
      <c r="B430" s="44">
        <v>0.1522</v>
      </c>
      <c r="C430" s="45">
        <v>2</v>
      </c>
      <c r="D430" s="46">
        <v>1</v>
      </c>
      <c r="E430" s="354">
        <f t="shared" si="113"/>
        <v>0.3044</v>
      </c>
    </row>
    <row r="431" spans="1:8" ht="24" customHeight="1" x14ac:dyDescent="0.3">
      <c r="A431" s="23" t="s">
        <v>86</v>
      </c>
      <c r="B431" s="44">
        <v>3.09E-2</v>
      </c>
      <c r="C431" s="45">
        <v>2</v>
      </c>
      <c r="D431" s="46">
        <v>0.5</v>
      </c>
      <c r="E431" s="354">
        <f t="shared" si="113"/>
        <v>3.09E-2</v>
      </c>
    </row>
    <row r="432" spans="1:8" ht="24" customHeight="1" x14ac:dyDescent="0.3">
      <c r="A432" s="23" t="s">
        <v>87</v>
      </c>
      <c r="B432" s="44">
        <v>1.23E-2</v>
      </c>
      <c r="C432" s="45">
        <v>3</v>
      </c>
      <c r="D432" s="46">
        <v>0.5</v>
      </c>
      <c r="E432" s="354">
        <f t="shared" si="113"/>
        <v>1.8450000000000001E-2</v>
      </c>
    </row>
    <row r="433" spans="1:5" ht="24" customHeight="1" x14ac:dyDescent="0.3">
      <c r="A433" s="23" t="s">
        <v>88</v>
      </c>
      <c r="B433" s="44">
        <v>0.02</v>
      </c>
      <c r="C433" s="45">
        <v>1</v>
      </c>
      <c r="D433" s="46">
        <v>1</v>
      </c>
      <c r="E433" s="354">
        <f t="shared" si="113"/>
        <v>0.02</v>
      </c>
    </row>
    <row r="434" spans="1:5" ht="24" customHeight="1" x14ac:dyDescent="0.3">
      <c r="A434" s="23" t="s">
        <v>89</v>
      </c>
      <c r="B434" s="44">
        <v>4.0000000000000001E-3</v>
      </c>
      <c r="C434" s="45">
        <v>1</v>
      </c>
      <c r="D434" s="46">
        <v>1</v>
      </c>
      <c r="E434" s="354">
        <f t="shared" si="113"/>
        <v>4.0000000000000001E-3</v>
      </c>
    </row>
    <row r="435" spans="1:5" ht="24" customHeight="1" x14ac:dyDescent="0.3">
      <c r="A435" s="23" t="s">
        <v>90</v>
      </c>
      <c r="B435" s="44">
        <v>3.2099999999999997E-2</v>
      </c>
      <c r="C435" s="45">
        <v>20</v>
      </c>
      <c r="D435" s="46">
        <v>0.5</v>
      </c>
      <c r="E435" s="354">
        <f t="shared" si="113"/>
        <v>0.32099999999999995</v>
      </c>
    </row>
    <row r="436" spans="1:5" ht="24" customHeight="1" x14ac:dyDescent="0.3">
      <c r="A436" s="23" t="s">
        <v>91</v>
      </c>
      <c r="B436" s="44">
        <v>2.8E-3</v>
      </c>
      <c r="C436" s="45">
        <v>180</v>
      </c>
      <c r="D436" s="46">
        <v>0.5</v>
      </c>
      <c r="E436" s="354">
        <f t="shared" si="113"/>
        <v>0.252</v>
      </c>
    </row>
    <row r="437" spans="1:5" ht="24" customHeight="1" thickBot="1" x14ac:dyDescent="0.35">
      <c r="A437" s="47" t="s">
        <v>92</v>
      </c>
      <c r="B437" s="64">
        <v>2.0000000000000001E-4</v>
      </c>
      <c r="C437" s="48">
        <v>6</v>
      </c>
      <c r="D437" s="49">
        <v>1</v>
      </c>
      <c r="E437" s="355">
        <f t="shared" si="113"/>
        <v>1.2000000000000001E-3</v>
      </c>
    </row>
    <row r="438" spans="1:5" ht="24" customHeight="1" thickBot="1" x14ac:dyDescent="0.35"/>
    <row r="439" spans="1:5" ht="36" customHeight="1" thickBot="1" x14ac:dyDescent="0.35">
      <c r="A439" s="377" t="s">
        <v>97</v>
      </c>
      <c r="B439" s="371"/>
      <c r="C439" s="372"/>
    </row>
    <row r="440" spans="1:5" ht="24" customHeight="1" thickBot="1" x14ac:dyDescent="0.35">
      <c r="A440" s="382" t="s">
        <v>93</v>
      </c>
      <c r="B440" s="377" t="s">
        <v>252</v>
      </c>
      <c r="C440" s="372"/>
    </row>
    <row r="441" spans="1:5" ht="24" customHeight="1" thickBot="1" x14ac:dyDescent="0.35">
      <c r="A441" s="383"/>
      <c r="B441" s="153" t="s">
        <v>94</v>
      </c>
      <c r="C441" s="154" t="s">
        <v>95</v>
      </c>
    </row>
    <row r="442" spans="1:5" ht="24" customHeight="1" x14ac:dyDescent="0.3">
      <c r="A442" s="40" t="s">
        <v>16</v>
      </c>
      <c r="B442" s="41">
        <f t="shared" ref="B442:B453" si="114">E426</f>
        <v>15</v>
      </c>
      <c r="C442" s="50">
        <f t="shared" ref="C442:C453" si="115">E426</f>
        <v>15</v>
      </c>
    </row>
    <row r="443" spans="1:5" ht="24" customHeight="1" x14ac:dyDescent="0.3">
      <c r="A443" s="23" t="s">
        <v>82</v>
      </c>
      <c r="B443" s="44">
        <f t="shared" si="114"/>
        <v>1</v>
      </c>
      <c r="C443" s="51">
        <f t="shared" si="115"/>
        <v>1</v>
      </c>
    </row>
    <row r="444" spans="1:5" ht="24" customHeight="1" x14ac:dyDescent="0.3">
      <c r="A444" s="23" t="s">
        <v>83</v>
      </c>
      <c r="B444" s="44">
        <f t="shared" si="114"/>
        <v>0.6915</v>
      </c>
      <c r="C444" s="51">
        <f t="shared" si="115"/>
        <v>0.6915</v>
      </c>
    </row>
    <row r="445" spans="1:5" ht="24" customHeight="1" x14ac:dyDescent="0.3">
      <c r="A445" s="23" t="s">
        <v>84</v>
      </c>
      <c r="B445" s="44">
        <f t="shared" si="114"/>
        <v>2.5</v>
      </c>
      <c r="C445" s="51">
        <f t="shared" si="115"/>
        <v>2.5</v>
      </c>
    </row>
    <row r="446" spans="1:5" ht="24" customHeight="1" x14ac:dyDescent="0.3">
      <c r="A446" s="23" t="s">
        <v>85</v>
      </c>
      <c r="B446" s="44">
        <f t="shared" si="114"/>
        <v>0.3044</v>
      </c>
      <c r="C446" s="51">
        <f t="shared" si="115"/>
        <v>0.3044</v>
      </c>
    </row>
    <row r="447" spans="1:5" ht="24" customHeight="1" x14ac:dyDescent="0.3">
      <c r="A447" s="23" t="s">
        <v>86</v>
      </c>
      <c r="B447" s="44">
        <f t="shared" si="114"/>
        <v>3.09E-2</v>
      </c>
      <c r="C447" s="51">
        <f t="shared" si="115"/>
        <v>3.09E-2</v>
      </c>
    </row>
    <row r="448" spans="1:5" ht="24" customHeight="1" x14ac:dyDescent="0.3">
      <c r="A448" s="23" t="s">
        <v>87</v>
      </c>
      <c r="B448" s="44">
        <f t="shared" si="114"/>
        <v>1.8450000000000001E-2</v>
      </c>
      <c r="C448" s="51">
        <f t="shared" si="115"/>
        <v>1.8450000000000001E-2</v>
      </c>
    </row>
    <row r="449" spans="1:8" ht="24" customHeight="1" x14ac:dyDescent="0.3">
      <c r="A449" s="23" t="s">
        <v>88</v>
      </c>
      <c r="B449" s="44">
        <f t="shared" si="114"/>
        <v>0.02</v>
      </c>
      <c r="C449" s="51">
        <f t="shared" si="115"/>
        <v>0.02</v>
      </c>
    </row>
    <row r="450" spans="1:8" ht="24" customHeight="1" x14ac:dyDescent="0.3">
      <c r="A450" s="23" t="s">
        <v>89</v>
      </c>
      <c r="B450" s="44">
        <f t="shared" si="114"/>
        <v>4.0000000000000001E-3</v>
      </c>
      <c r="C450" s="51">
        <f t="shared" si="115"/>
        <v>4.0000000000000001E-3</v>
      </c>
    </row>
    <row r="451" spans="1:8" ht="24" customHeight="1" x14ac:dyDescent="0.3">
      <c r="A451" s="23" t="s">
        <v>90</v>
      </c>
      <c r="B451" s="44">
        <f t="shared" si="114"/>
        <v>0.32099999999999995</v>
      </c>
      <c r="C451" s="51">
        <f t="shared" si="115"/>
        <v>0.32099999999999995</v>
      </c>
    </row>
    <row r="452" spans="1:8" ht="24" customHeight="1" x14ac:dyDescent="0.3">
      <c r="A452" s="23" t="s">
        <v>91</v>
      </c>
      <c r="B452" s="44">
        <f t="shared" si="114"/>
        <v>0.252</v>
      </c>
      <c r="C452" s="51">
        <f t="shared" si="115"/>
        <v>0.252</v>
      </c>
    </row>
    <row r="453" spans="1:8" ht="24" customHeight="1" thickBot="1" x14ac:dyDescent="0.35">
      <c r="A453" s="47" t="s">
        <v>92</v>
      </c>
      <c r="B453" s="64">
        <f t="shared" si="114"/>
        <v>1.2000000000000001E-3</v>
      </c>
      <c r="C453" s="188">
        <f t="shared" si="115"/>
        <v>1.2000000000000001E-3</v>
      </c>
    </row>
    <row r="454" spans="1:8" ht="24" customHeight="1" thickBot="1" x14ac:dyDescent="0.35">
      <c r="A454" s="153" t="s">
        <v>96</v>
      </c>
      <c r="B454" s="55">
        <f>SUM(B442:B453)</f>
        <v>20.143450000000005</v>
      </c>
      <c r="C454" s="232">
        <f>SUM(C442:C453)</f>
        <v>20.143450000000005</v>
      </c>
      <c r="H454" s="90"/>
    </row>
    <row r="456" spans="1:8" ht="24" customHeight="1" x14ac:dyDescent="0.3">
      <c r="A456" s="380" t="s">
        <v>101</v>
      </c>
      <c r="B456" s="381"/>
      <c r="C456" s="381"/>
      <c r="D456" s="381"/>
      <c r="E456" s="381"/>
      <c r="F456" s="381"/>
      <c r="G456" s="381"/>
      <c r="H456" s="381"/>
    </row>
    <row r="457" spans="1:8" ht="24" customHeight="1" thickBot="1" x14ac:dyDescent="0.35"/>
    <row r="458" spans="1:8" ht="24" customHeight="1" thickBot="1" x14ac:dyDescent="0.35">
      <c r="A458" s="373" t="s">
        <v>75</v>
      </c>
      <c r="B458" s="374"/>
      <c r="C458" s="374"/>
      <c r="D458" s="375"/>
    </row>
    <row r="459" spans="1:8" ht="24" customHeight="1" thickBot="1" x14ac:dyDescent="0.35">
      <c r="A459" s="12" t="s">
        <v>3</v>
      </c>
      <c r="B459" s="13" t="s">
        <v>1</v>
      </c>
      <c r="C459" s="13" t="s">
        <v>74</v>
      </c>
      <c r="D459" s="14" t="s">
        <v>73</v>
      </c>
    </row>
    <row r="460" spans="1:8" ht="24" customHeight="1" x14ac:dyDescent="0.3">
      <c r="A460" s="3" t="s">
        <v>235</v>
      </c>
      <c r="B460" s="5">
        <f>H75+E293+E411</f>
        <v>4562.6323082272338</v>
      </c>
      <c r="C460" s="19">
        <v>30</v>
      </c>
      <c r="D460" s="7">
        <f t="shared" ref="D460:D467" si="116">B460/C460</f>
        <v>152.08774360757445</v>
      </c>
    </row>
    <row r="461" spans="1:8" ht="24" customHeight="1" thickBot="1" x14ac:dyDescent="0.35">
      <c r="A461" s="4" t="s">
        <v>238</v>
      </c>
      <c r="B461" s="6">
        <f t="shared" ref="B461:B467" si="117">H76+E294+E412</f>
        <v>5213.2607825451068</v>
      </c>
      <c r="C461" s="20">
        <f>C460</f>
        <v>30</v>
      </c>
      <c r="D461" s="8">
        <f t="shared" si="116"/>
        <v>173.77535941817024</v>
      </c>
    </row>
    <row r="462" spans="1:8" ht="24" customHeight="1" x14ac:dyDescent="0.3">
      <c r="A462" s="3" t="s">
        <v>352</v>
      </c>
      <c r="B462" s="5">
        <f t="shared" si="117"/>
        <v>4918.1326543188206</v>
      </c>
      <c r="C462" s="19">
        <v>30</v>
      </c>
      <c r="D462" s="7">
        <f t="shared" si="116"/>
        <v>163.93775514396069</v>
      </c>
    </row>
    <row r="463" spans="1:8" ht="24" customHeight="1" thickBot="1" x14ac:dyDescent="0.35">
      <c r="A463" s="4" t="s">
        <v>374</v>
      </c>
      <c r="B463" s="6">
        <f t="shared" si="117"/>
        <v>5523.3684443819584</v>
      </c>
      <c r="C463" s="20">
        <f>C462</f>
        <v>30</v>
      </c>
      <c r="D463" s="8">
        <f t="shared" si="116"/>
        <v>184.1122814793986</v>
      </c>
    </row>
    <row r="464" spans="1:8" ht="24" customHeight="1" x14ac:dyDescent="0.3">
      <c r="A464" s="3" t="s">
        <v>353</v>
      </c>
      <c r="B464" s="5">
        <f t="shared" si="117"/>
        <v>4825.8952015788218</v>
      </c>
      <c r="C464" s="19">
        <v>30</v>
      </c>
      <c r="D464" s="7">
        <f t="shared" ref="D464:D465" si="118">B464/C464</f>
        <v>160.86317338596072</v>
      </c>
    </row>
    <row r="465" spans="1:8" ht="24" customHeight="1" thickBot="1" x14ac:dyDescent="0.35">
      <c r="A465" s="2" t="s">
        <v>375</v>
      </c>
      <c r="B465" s="6">
        <f t="shared" si="117"/>
        <v>5431.1309916419577</v>
      </c>
      <c r="C465" s="20">
        <f>C464</f>
        <v>30</v>
      </c>
      <c r="D465" s="8">
        <f t="shared" si="118"/>
        <v>181.03769972139858</v>
      </c>
    </row>
    <row r="466" spans="1:8" ht="24" customHeight="1" x14ac:dyDescent="0.3">
      <c r="A466" s="3" t="s">
        <v>236</v>
      </c>
      <c r="B466" s="5">
        <f t="shared" si="117"/>
        <v>4918.1326543188206</v>
      </c>
      <c r="C466" s="19">
        <v>30</v>
      </c>
      <c r="D466" s="7">
        <f t="shared" si="116"/>
        <v>163.93775514396069</v>
      </c>
    </row>
    <row r="467" spans="1:8" ht="24" customHeight="1" thickBot="1" x14ac:dyDescent="0.35">
      <c r="A467" s="2" t="s">
        <v>237</v>
      </c>
      <c r="B467" s="65">
        <f t="shared" si="117"/>
        <v>5568.7611286366928</v>
      </c>
      <c r="C467" s="21">
        <v>30</v>
      </c>
      <c r="D467" s="67">
        <f t="shared" si="116"/>
        <v>185.62537095455642</v>
      </c>
    </row>
    <row r="468" spans="1:8" ht="24" customHeight="1" thickBot="1" x14ac:dyDescent="0.35"/>
    <row r="469" spans="1:8" ht="24" customHeight="1" thickBot="1" x14ac:dyDescent="0.35">
      <c r="A469" s="377" t="s">
        <v>101</v>
      </c>
      <c r="B469" s="371"/>
      <c r="C469" s="371"/>
      <c r="D469" s="371"/>
      <c r="E469" s="372"/>
    </row>
    <row r="470" spans="1:8" ht="29.25" customHeight="1" thickBot="1" x14ac:dyDescent="0.35">
      <c r="A470" s="12" t="s">
        <v>3</v>
      </c>
      <c r="B470" s="13" t="s">
        <v>73</v>
      </c>
      <c r="C470" s="15" t="s">
        <v>98</v>
      </c>
      <c r="D470" s="13" t="s">
        <v>99</v>
      </c>
      <c r="E470" s="14" t="s">
        <v>100</v>
      </c>
    </row>
    <row r="471" spans="1:8" ht="24" customHeight="1" x14ac:dyDescent="0.3">
      <c r="A471" s="3" t="s">
        <v>235</v>
      </c>
      <c r="B471" s="5">
        <f t="shared" ref="B471:B478" si="119">D460</f>
        <v>152.08774360757445</v>
      </c>
      <c r="C471" s="58">
        <f>B454</f>
        <v>20.143450000000005</v>
      </c>
      <c r="D471" s="5">
        <f t="shared" ref="D471:D478" si="120">B471*C471</f>
        <v>3063.5718589719963</v>
      </c>
      <c r="E471" s="7">
        <f t="shared" ref="E471:E478" si="121">D471/12</f>
        <v>255.29765491433304</v>
      </c>
    </row>
    <row r="472" spans="1:8" ht="24" customHeight="1" thickBot="1" x14ac:dyDescent="0.35">
      <c r="A472" s="4" t="s">
        <v>238</v>
      </c>
      <c r="B472" s="6">
        <f t="shared" si="119"/>
        <v>173.77535941817024</v>
      </c>
      <c r="C472" s="56">
        <f>C454</f>
        <v>20.143450000000005</v>
      </c>
      <c r="D472" s="6">
        <f t="shared" si="120"/>
        <v>3500.4352636719423</v>
      </c>
      <c r="E472" s="8">
        <f t="shared" si="121"/>
        <v>291.70293863932852</v>
      </c>
    </row>
    <row r="473" spans="1:8" ht="24" customHeight="1" x14ac:dyDescent="0.3">
      <c r="A473" s="3" t="s">
        <v>352</v>
      </c>
      <c r="B473" s="5">
        <f t="shared" si="119"/>
        <v>163.93775514396069</v>
      </c>
      <c r="C473" s="58">
        <f>B454</f>
        <v>20.143450000000005</v>
      </c>
      <c r="D473" s="5">
        <f t="shared" si="120"/>
        <v>3302.2719738546157</v>
      </c>
      <c r="E473" s="7">
        <f t="shared" ref="E473:E474" si="122">D473/12</f>
        <v>275.18933115455133</v>
      </c>
    </row>
    <row r="474" spans="1:8" ht="24" customHeight="1" thickBot="1" x14ac:dyDescent="0.35">
      <c r="A474" s="4" t="s">
        <v>374</v>
      </c>
      <c r="B474" s="6">
        <f t="shared" si="119"/>
        <v>184.1122814793986</v>
      </c>
      <c r="C474" s="56">
        <f>C454</f>
        <v>20.143450000000005</v>
      </c>
      <c r="D474" s="6">
        <f t="shared" si="120"/>
        <v>3708.6565363661925</v>
      </c>
      <c r="E474" s="8">
        <f t="shared" si="122"/>
        <v>309.05471136384938</v>
      </c>
    </row>
    <row r="475" spans="1:8" ht="24" customHeight="1" x14ac:dyDescent="0.3">
      <c r="A475" s="3" t="s">
        <v>353</v>
      </c>
      <c r="B475" s="5">
        <f t="shared" si="119"/>
        <v>160.86317338596072</v>
      </c>
      <c r="C475" s="56">
        <f>B454</f>
        <v>20.143450000000005</v>
      </c>
      <c r="D475" s="5">
        <f t="shared" ref="D475:D476" si="123">B475*C475</f>
        <v>3240.3392899414312</v>
      </c>
      <c r="E475" s="7">
        <f t="shared" ref="E475:E476" si="124">D475/12</f>
        <v>270.02827416178593</v>
      </c>
    </row>
    <row r="476" spans="1:8" ht="24" customHeight="1" thickBot="1" x14ac:dyDescent="0.35">
      <c r="A476" s="2" t="s">
        <v>375</v>
      </c>
      <c r="B476" s="6">
        <f t="shared" si="119"/>
        <v>181.03769972139858</v>
      </c>
      <c r="C476" s="56">
        <f>C454</f>
        <v>20.143450000000005</v>
      </c>
      <c r="D476" s="6">
        <f t="shared" si="123"/>
        <v>3646.7238524530071</v>
      </c>
      <c r="E476" s="8">
        <f t="shared" si="124"/>
        <v>303.89365437108393</v>
      </c>
    </row>
    <row r="477" spans="1:8" ht="24" customHeight="1" x14ac:dyDescent="0.3">
      <c r="A477" s="3" t="s">
        <v>236</v>
      </c>
      <c r="B477" s="5">
        <f t="shared" si="119"/>
        <v>163.93775514396069</v>
      </c>
      <c r="C477" s="58">
        <f>B454</f>
        <v>20.143450000000005</v>
      </c>
      <c r="D477" s="5">
        <f t="shared" si="120"/>
        <v>3302.2719738546157</v>
      </c>
      <c r="E477" s="7">
        <f t="shared" si="121"/>
        <v>275.18933115455133</v>
      </c>
    </row>
    <row r="478" spans="1:8" ht="24" customHeight="1" thickBot="1" x14ac:dyDescent="0.35">
      <c r="A478" s="2" t="s">
        <v>237</v>
      </c>
      <c r="B478" s="65">
        <f t="shared" si="119"/>
        <v>185.62537095455642</v>
      </c>
      <c r="C478" s="57">
        <f>C454</f>
        <v>20.143450000000005</v>
      </c>
      <c r="D478" s="65">
        <f t="shared" si="120"/>
        <v>3739.1353785545602</v>
      </c>
      <c r="E478" s="67">
        <f t="shared" si="121"/>
        <v>311.59461487954667</v>
      </c>
    </row>
    <row r="480" spans="1:8" ht="24" customHeight="1" x14ac:dyDescent="0.3">
      <c r="A480" s="380" t="s">
        <v>102</v>
      </c>
      <c r="B480" s="381"/>
      <c r="C480" s="381"/>
      <c r="D480" s="381"/>
      <c r="E480" s="381"/>
      <c r="F480" s="381"/>
      <c r="G480" s="381"/>
      <c r="H480" s="381"/>
    </row>
    <row r="481" spans="1:8" ht="24" customHeight="1" thickBot="1" x14ac:dyDescent="0.35"/>
    <row r="482" spans="1:8" ht="24" customHeight="1" thickBot="1" x14ac:dyDescent="0.35">
      <c r="A482" s="373" t="s">
        <v>104</v>
      </c>
      <c r="B482" s="374"/>
      <c r="C482" s="374"/>
      <c r="D482" s="375"/>
    </row>
    <row r="483" spans="1:8" ht="24" customHeight="1" thickBot="1" x14ac:dyDescent="0.35">
      <c r="A483" s="12" t="s">
        <v>3</v>
      </c>
      <c r="B483" s="13" t="s">
        <v>1</v>
      </c>
      <c r="C483" s="13" t="s">
        <v>103</v>
      </c>
      <c r="D483" s="14" t="s">
        <v>4</v>
      </c>
    </row>
    <row r="484" spans="1:8" ht="24" customHeight="1" x14ac:dyDescent="0.3">
      <c r="A484" s="3" t="s">
        <v>235</v>
      </c>
      <c r="B484" s="5">
        <f>H75+E293+E411</f>
        <v>4562.6323082272338</v>
      </c>
      <c r="C484" s="68">
        <v>220</v>
      </c>
      <c r="D484" s="7">
        <f>B484/C484</f>
        <v>20.739237764669245</v>
      </c>
    </row>
    <row r="485" spans="1:8" ht="24" customHeight="1" thickBot="1" x14ac:dyDescent="0.35">
      <c r="A485" s="2" t="s">
        <v>238</v>
      </c>
      <c r="B485" s="65">
        <f>H76+E294+E412</f>
        <v>5213.2607825451068</v>
      </c>
      <c r="C485" s="69">
        <f>C484</f>
        <v>220</v>
      </c>
      <c r="D485" s="67">
        <f>B485/C485</f>
        <v>23.696639920659578</v>
      </c>
    </row>
    <row r="486" spans="1:8" ht="24" customHeight="1" thickBot="1" x14ac:dyDescent="0.35"/>
    <row r="487" spans="1:8" ht="24" customHeight="1" thickBot="1" x14ac:dyDescent="0.35">
      <c r="A487" s="373" t="s">
        <v>102</v>
      </c>
      <c r="B487" s="374"/>
      <c r="C487" s="374"/>
      <c r="D487" s="375"/>
    </row>
    <row r="488" spans="1:8" ht="32.25" customHeight="1" thickBot="1" x14ac:dyDescent="0.35">
      <c r="A488" s="34" t="s">
        <v>3</v>
      </c>
      <c r="B488" s="35" t="s">
        <v>105</v>
      </c>
      <c r="C488" s="54" t="s">
        <v>106</v>
      </c>
      <c r="D488" s="36" t="s">
        <v>4</v>
      </c>
    </row>
    <row r="489" spans="1:8" ht="24" customHeight="1" x14ac:dyDescent="0.3">
      <c r="A489" s="3" t="s">
        <v>235</v>
      </c>
      <c r="B489" s="5">
        <f>D484</f>
        <v>20.739237764669245</v>
      </c>
      <c r="C489" s="68">
        <v>15</v>
      </c>
      <c r="D489" s="7">
        <f>B489*C489</f>
        <v>311.08856647003864</v>
      </c>
    </row>
    <row r="490" spans="1:8" ht="24" customHeight="1" thickBot="1" x14ac:dyDescent="0.35">
      <c r="A490" s="2" t="s">
        <v>238</v>
      </c>
      <c r="B490" s="65">
        <f>D485</f>
        <v>23.696639920659578</v>
      </c>
      <c r="C490" s="69">
        <v>15</v>
      </c>
      <c r="D490" s="67">
        <f>B490*C490</f>
        <v>355.4495988098937</v>
      </c>
    </row>
    <row r="492" spans="1:8" ht="24" customHeight="1" x14ac:dyDescent="0.3">
      <c r="A492" s="378" t="s">
        <v>72</v>
      </c>
      <c r="B492" s="378"/>
      <c r="C492" s="378"/>
      <c r="D492" s="378"/>
      <c r="E492" s="378"/>
      <c r="F492" s="378"/>
      <c r="G492" s="378"/>
      <c r="H492" s="378"/>
    </row>
    <row r="493" spans="1:8" ht="24" customHeight="1" thickBot="1" x14ac:dyDescent="0.35"/>
    <row r="494" spans="1:8" ht="24" customHeight="1" thickBot="1" x14ac:dyDescent="0.35">
      <c r="A494" s="373" t="s">
        <v>72</v>
      </c>
      <c r="B494" s="374"/>
      <c r="C494" s="374"/>
      <c r="D494" s="375"/>
    </row>
    <row r="495" spans="1:8" ht="24" customHeight="1" thickBot="1" x14ac:dyDescent="0.35">
      <c r="A495" s="12" t="s">
        <v>3</v>
      </c>
      <c r="B495" s="13" t="s">
        <v>107</v>
      </c>
      <c r="C495" s="13" t="s">
        <v>108</v>
      </c>
      <c r="D495" s="14" t="s">
        <v>12</v>
      </c>
    </row>
    <row r="496" spans="1:8" ht="24" customHeight="1" x14ac:dyDescent="0.3">
      <c r="A496" s="3" t="s">
        <v>235</v>
      </c>
      <c r="B496" s="5">
        <f t="shared" ref="B496:B503" si="125">E471</f>
        <v>255.29765491433304</v>
      </c>
      <c r="C496" s="5">
        <f>D489</f>
        <v>311.08856647003864</v>
      </c>
      <c r="D496" s="7">
        <f t="shared" ref="D496:D503" si="126">B496+C496</f>
        <v>566.38622138437165</v>
      </c>
    </row>
    <row r="497" spans="1:8" ht="24" customHeight="1" thickBot="1" x14ac:dyDescent="0.35">
      <c r="A497" s="73" t="s">
        <v>238</v>
      </c>
      <c r="B497" s="74">
        <f t="shared" si="125"/>
        <v>291.70293863932852</v>
      </c>
      <c r="C497" s="74">
        <f>D490</f>
        <v>355.4495988098937</v>
      </c>
      <c r="D497" s="78">
        <f t="shared" si="126"/>
        <v>647.15253744922222</v>
      </c>
    </row>
    <row r="498" spans="1:8" ht="24" customHeight="1" x14ac:dyDescent="0.3">
      <c r="A498" s="3" t="s">
        <v>352</v>
      </c>
      <c r="B498" s="5">
        <f t="shared" si="125"/>
        <v>275.18933115455133</v>
      </c>
      <c r="C498" s="5">
        <f>D489</f>
        <v>311.08856647003864</v>
      </c>
      <c r="D498" s="7">
        <f t="shared" si="126"/>
        <v>586.27789762458997</v>
      </c>
    </row>
    <row r="499" spans="1:8" ht="24" customHeight="1" thickBot="1" x14ac:dyDescent="0.35">
      <c r="A499" s="4" t="s">
        <v>374</v>
      </c>
      <c r="B499" s="74">
        <f t="shared" si="125"/>
        <v>309.05471136384938</v>
      </c>
      <c r="C499" s="74">
        <f>D490</f>
        <v>355.4495988098937</v>
      </c>
      <c r="D499" s="78">
        <f t="shared" si="126"/>
        <v>664.50431017374308</v>
      </c>
    </row>
    <row r="500" spans="1:8" ht="24" customHeight="1" x14ac:dyDescent="0.3">
      <c r="A500" s="3" t="s">
        <v>353</v>
      </c>
      <c r="B500" s="5">
        <f t="shared" si="125"/>
        <v>270.02827416178593</v>
      </c>
      <c r="C500" s="5">
        <f>D489</f>
        <v>311.08856647003864</v>
      </c>
      <c r="D500" s="7">
        <f t="shared" ref="D500:D501" si="127">B500+C500</f>
        <v>581.11684063182452</v>
      </c>
    </row>
    <row r="501" spans="1:8" ht="24" customHeight="1" thickBot="1" x14ac:dyDescent="0.35">
      <c r="A501" s="2" t="s">
        <v>375</v>
      </c>
      <c r="B501" s="74">
        <f t="shared" si="125"/>
        <v>303.89365437108393</v>
      </c>
      <c r="C501" s="74">
        <f>D490</f>
        <v>355.4495988098937</v>
      </c>
      <c r="D501" s="78">
        <f t="shared" si="127"/>
        <v>659.34325318097763</v>
      </c>
    </row>
    <row r="502" spans="1:8" ht="24" customHeight="1" x14ac:dyDescent="0.3">
      <c r="A502" s="3" t="s">
        <v>236</v>
      </c>
      <c r="B502" s="5">
        <f t="shared" si="125"/>
        <v>275.18933115455133</v>
      </c>
      <c r="C502" s="5">
        <v>0</v>
      </c>
      <c r="D502" s="7">
        <f t="shared" si="126"/>
        <v>275.18933115455133</v>
      </c>
    </row>
    <row r="503" spans="1:8" ht="24" customHeight="1" thickBot="1" x14ac:dyDescent="0.35">
      <c r="A503" s="2" t="s">
        <v>237</v>
      </c>
      <c r="B503" s="65">
        <f t="shared" si="125"/>
        <v>311.59461487954667</v>
      </c>
      <c r="C503" s="65">
        <v>0</v>
      </c>
      <c r="D503" s="67">
        <f t="shared" si="126"/>
        <v>311.59461487954667</v>
      </c>
    </row>
    <row r="505" spans="1:8" ht="24" customHeight="1" x14ac:dyDescent="0.3">
      <c r="A505" s="378" t="s">
        <v>109</v>
      </c>
      <c r="B505" s="378"/>
      <c r="C505" s="378"/>
      <c r="D505" s="378"/>
      <c r="E505" s="378"/>
      <c r="F505" s="378"/>
      <c r="G505" s="378"/>
      <c r="H505" s="378"/>
    </row>
    <row r="506" spans="1:8" ht="24" customHeight="1" thickBot="1" x14ac:dyDescent="0.35">
      <c r="A506" s="90"/>
      <c r="B506" s="90"/>
      <c r="C506" s="90"/>
      <c r="E506" s="90"/>
    </row>
    <row r="507" spans="1:8" ht="24" customHeight="1" thickBot="1" x14ac:dyDescent="0.35">
      <c r="A507" s="400" t="s">
        <v>143</v>
      </c>
      <c r="B507" s="401"/>
      <c r="C507" s="401"/>
      <c r="D507" s="402"/>
      <c r="E507" s="99"/>
    </row>
    <row r="508" spans="1:8" ht="24" customHeight="1" thickBot="1" x14ac:dyDescent="0.35">
      <c r="A508" s="226" t="s">
        <v>144</v>
      </c>
      <c r="B508" s="227" t="s">
        <v>299</v>
      </c>
      <c r="C508" s="227" t="s">
        <v>146</v>
      </c>
      <c r="D508" s="228" t="s">
        <v>300</v>
      </c>
    </row>
    <row r="509" spans="1:8" ht="24" customHeight="1" x14ac:dyDescent="0.3">
      <c r="A509" s="3" t="str">
        <f>Uniformes!B5</f>
        <v>Calça</v>
      </c>
      <c r="B509" s="229">
        <f>Uniformes!D5</f>
        <v>4</v>
      </c>
      <c r="C509" s="111">
        <f>Uniformes!E5</f>
        <v>133.25</v>
      </c>
      <c r="D509" s="111">
        <f t="shared" ref="D509:D518" si="128">B509*C509</f>
        <v>533</v>
      </c>
    </row>
    <row r="510" spans="1:8" ht="24" customHeight="1" x14ac:dyDescent="0.3">
      <c r="A510" s="1" t="str">
        <f>Uniformes!B6</f>
        <v>Camisa</v>
      </c>
      <c r="B510" s="257">
        <f>Uniformes!D6</f>
        <v>4</v>
      </c>
      <c r="C510" s="258">
        <f>Uniformes!E6</f>
        <v>150.79</v>
      </c>
      <c r="D510" s="258">
        <f t="shared" si="128"/>
        <v>603.16</v>
      </c>
    </row>
    <row r="511" spans="1:8" ht="24" customHeight="1" x14ac:dyDescent="0.3">
      <c r="A511" s="1" t="str">
        <f>Uniformes!B7</f>
        <v>Coturno</v>
      </c>
      <c r="B511" s="257">
        <f>Uniformes!D7</f>
        <v>2</v>
      </c>
      <c r="C511" s="258">
        <f>Uniformes!E7</f>
        <v>306.23</v>
      </c>
      <c r="D511" s="258">
        <f t="shared" si="128"/>
        <v>612.46</v>
      </c>
    </row>
    <row r="512" spans="1:8" ht="24" customHeight="1" x14ac:dyDescent="0.3">
      <c r="A512" s="1" t="str">
        <f>Uniformes!B8</f>
        <v>Boné</v>
      </c>
      <c r="B512" s="257">
        <f>Uniformes!D8</f>
        <v>2</v>
      </c>
      <c r="C512" s="258">
        <f>Uniformes!E8</f>
        <v>41.33</v>
      </c>
      <c r="D512" s="258">
        <f t="shared" si="128"/>
        <v>82.66</v>
      </c>
    </row>
    <row r="513" spans="1:5" ht="24" customHeight="1" x14ac:dyDescent="0.3">
      <c r="A513" s="1" t="str">
        <f>Uniformes!B9</f>
        <v>Cinto de Nylon</v>
      </c>
      <c r="B513" s="257">
        <f>Uniformes!D9</f>
        <v>4</v>
      </c>
      <c r="C513" s="258">
        <f>Uniformes!E9</f>
        <v>38.049999999999997</v>
      </c>
      <c r="D513" s="258">
        <f t="shared" si="128"/>
        <v>152.19999999999999</v>
      </c>
    </row>
    <row r="514" spans="1:5" ht="24" customHeight="1" x14ac:dyDescent="0.3">
      <c r="A514" s="1" t="str">
        <f>Uniformes!B10</f>
        <v>Jaqueta</v>
      </c>
      <c r="B514" s="257">
        <f>Uniformes!D10</f>
        <v>2</v>
      </c>
      <c r="C514" s="258">
        <f>Uniformes!E10</f>
        <v>259.7</v>
      </c>
      <c r="D514" s="258">
        <f t="shared" si="128"/>
        <v>519.4</v>
      </c>
    </row>
    <row r="515" spans="1:5" ht="24" customHeight="1" x14ac:dyDescent="0.3">
      <c r="A515" s="1" t="str">
        <f>Uniformes!B11</f>
        <v>Meia</v>
      </c>
      <c r="B515" s="257">
        <f>Uniformes!D11</f>
        <v>4</v>
      </c>
      <c r="C515" s="258">
        <f>Uniformes!E11</f>
        <v>2</v>
      </c>
      <c r="D515" s="258">
        <f t="shared" si="128"/>
        <v>8</v>
      </c>
    </row>
    <row r="516" spans="1:5" ht="24" customHeight="1" x14ac:dyDescent="0.3">
      <c r="A516" s="1" t="str">
        <f>Uniformes!B12</f>
        <v>Crachá</v>
      </c>
      <c r="B516" s="257">
        <f>Uniformes!D12</f>
        <v>2</v>
      </c>
      <c r="C516" s="258">
        <f>Uniformes!E12</f>
        <v>9.56</v>
      </c>
      <c r="D516" s="258">
        <f t="shared" si="128"/>
        <v>19.12</v>
      </c>
    </row>
    <row r="517" spans="1:5" ht="24" customHeight="1" x14ac:dyDescent="0.3">
      <c r="A517" s="1" t="str">
        <f>Uniformes!B13</f>
        <v>Capa de Chuva</v>
      </c>
      <c r="B517" s="257">
        <f>Uniformes!D13</f>
        <v>2</v>
      </c>
      <c r="C517" s="258">
        <f>Uniformes!E13</f>
        <v>28.38</v>
      </c>
      <c r="D517" s="258">
        <f t="shared" si="128"/>
        <v>56.76</v>
      </c>
    </row>
    <row r="518" spans="1:5" ht="24" customHeight="1" thickBot="1" x14ac:dyDescent="0.35">
      <c r="A518" s="1" t="str">
        <f>Uniformes!B14</f>
        <v>Capa de Colete</v>
      </c>
      <c r="B518" s="257">
        <f>Uniformes!D14</f>
        <v>2</v>
      </c>
      <c r="C518" s="258">
        <f>Uniformes!E14</f>
        <v>243.62</v>
      </c>
      <c r="D518" s="258">
        <f t="shared" si="128"/>
        <v>487.24</v>
      </c>
    </row>
    <row r="519" spans="1:5" ht="24" customHeight="1" thickBot="1" x14ac:dyDescent="0.35">
      <c r="A519" s="400" t="s">
        <v>149</v>
      </c>
      <c r="B519" s="401"/>
      <c r="C519" s="403"/>
      <c r="D519" s="230">
        <f>SUM(D509:D518)</f>
        <v>3074</v>
      </c>
    </row>
    <row r="520" spans="1:5" ht="24" customHeight="1" thickBot="1" x14ac:dyDescent="0.35">
      <c r="B520" s="100"/>
      <c r="C520" s="100"/>
      <c r="D520" s="100"/>
      <c r="E520" s="101"/>
    </row>
    <row r="521" spans="1:5" ht="24" customHeight="1" thickBot="1" x14ac:dyDescent="0.35">
      <c r="A521" s="400" t="s">
        <v>150</v>
      </c>
      <c r="B521" s="401"/>
      <c r="C521" s="402"/>
      <c r="D521" s="102"/>
      <c r="E521" s="102"/>
    </row>
    <row r="522" spans="1:5" ht="24" customHeight="1" thickBot="1" x14ac:dyDescent="0.35">
      <c r="A522" s="103" t="s">
        <v>3</v>
      </c>
      <c r="B522" s="104" t="s">
        <v>99</v>
      </c>
      <c r="C522" s="105" t="s">
        <v>151</v>
      </c>
      <c r="D522" s="102"/>
      <c r="E522" s="102"/>
    </row>
    <row r="523" spans="1:5" ht="24" customHeight="1" x14ac:dyDescent="0.3">
      <c r="A523" s="3" t="s">
        <v>235</v>
      </c>
      <c r="B523" s="301">
        <f>D519</f>
        <v>3074</v>
      </c>
      <c r="C523" s="302">
        <f t="shared" ref="C523:C530" si="129">(B523/12)</f>
        <v>256.16666666666669</v>
      </c>
      <c r="D523" s="100"/>
    </row>
    <row r="524" spans="1:5" ht="24" customHeight="1" thickBot="1" x14ac:dyDescent="0.35">
      <c r="A524" s="2" t="s">
        <v>238</v>
      </c>
      <c r="B524" s="303">
        <f>D519</f>
        <v>3074</v>
      </c>
      <c r="C524" s="304">
        <f t="shared" si="129"/>
        <v>256.16666666666669</v>
      </c>
      <c r="D524" s="100"/>
    </row>
    <row r="525" spans="1:5" ht="24" customHeight="1" x14ac:dyDescent="0.3">
      <c r="A525" s="3" t="s">
        <v>352</v>
      </c>
      <c r="B525" s="301">
        <f>D519</f>
        <v>3074</v>
      </c>
      <c r="C525" s="302">
        <f t="shared" si="129"/>
        <v>256.16666666666669</v>
      </c>
      <c r="D525" s="100"/>
    </row>
    <row r="526" spans="1:5" ht="24" customHeight="1" thickBot="1" x14ac:dyDescent="0.35">
      <c r="A526" s="4" t="s">
        <v>374</v>
      </c>
      <c r="B526" s="303">
        <f>D519</f>
        <v>3074</v>
      </c>
      <c r="C526" s="304">
        <f t="shared" si="129"/>
        <v>256.16666666666669</v>
      </c>
      <c r="D526" s="100"/>
    </row>
    <row r="527" spans="1:5" ht="24" customHeight="1" x14ac:dyDescent="0.3">
      <c r="A527" s="3" t="s">
        <v>353</v>
      </c>
      <c r="B527" s="301">
        <f>D519</f>
        <v>3074</v>
      </c>
      <c r="C527" s="302">
        <f t="shared" ref="C527:C528" si="130">(B527/12)</f>
        <v>256.16666666666669</v>
      </c>
      <c r="D527" s="100"/>
    </row>
    <row r="528" spans="1:5" ht="24" customHeight="1" thickBot="1" x14ac:dyDescent="0.35">
      <c r="A528" s="2" t="s">
        <v>375</v>
      </c>
      <c r="B528" s="303">
        <f>D519</f>
        <v>3074</v>
      </c>
      <c r="C528" s="304">
        <f t="shared" si="130"/>
        <v>256.16666666666669</v>
      </c>
      <c r="D528" s="100"/>
    </row>
    <row r="529" spans="1:4" ht="24" customHeight="1" x14ac:dyDescent="0.3">
      <c r="A529" s="3" t="s">
        <v>236</v>
      </c>
      <c r="B529" s="301">
        <f>D519</f>
        <v>3074</v>
      </c>
      <c r="C529" s="302">
        <f t="shared" si="129"/>
        <v>256.16666666666669</v>
      </c>
      <c r="D529" s="100"/>
    </row>
    <row r="530" spans="1:4" ht="24" customHeight="1" thickBot="1" x14ac:dyDescent="0.35">
      <c r="A530" s="2" t="s">
        <v>237</v>
      </c>
      <c r="B530" s="303">
        <f>D519</f>
        <v>3074</v>
      </c>
      <c r="C530" s="304">
        <f t="shared" si="129"/>
        <v>256.16666666666669</v>
      </c>
      <c r="D530" s="100"/>
    </row>
    <row r="531" spans="1:4" ht="24" customHeight="1" thickBot="1" x14ac:dyDescent="0.35">
      <c r="B531" s="100"/>
      <c r="C531" s="100"/>
      <c r="D531" s="100"/>
    </row>
    <row r="532" spans="1:4" ht="24" customHeight="1" thickBot="1" x14ac:dyDescent="0.35">
      <c r="A532" s="400" t="s">
        <v>301</v>
      </c>
      <c r="B532" s="401"/>
      <c r="C532" s="401"/>
      <c r="D532" s="402"/>
    </row>
    <row r="533" spans="1:4" ht="24" customHeight="1" thickBot="1" x14ac:dyDescent="0.35">
      <c r="A533" s="226" t="s">
        <v>144</v>
      </c>
      <c r="B533" s="227" t="s">
        <v>299</v>
      </c>
      <c r="C533" s="227" t="s">
        <v>146</v>
      </c>
      <c r="D533" s="228" t="s">
        <v>300</v>
      </c>
    </row>
    <row r="534" spans="1:4" ht="24" customHeight="1" x14ac:dyDescent="0.3">
      <c r="A534" s="3" t="str">
        <f>Materiais!B5</f>
        <v>Cinto de Guarnição</v>
      </c>
      <c r="B534" s="229">
        <f>Materiais!D5</f>
        <v>1</v>
      </c>
      <c r="C534" s="111">
        <f>Materiais!E5</f>
        <v>107.76</v>
      </c>
      <c r="D534" s="111">
        <f t="shared" ref="D534:D543" si="131">B534*C534</f>
        <v>107.76</v>
      </c>
    </row>
    <row r="535" spans="1:4" ht="24" customHeight="1" x14ac:dyDescent="0.3">
      <c r="A535" s="1" t="str">
        <f>Materiais!B6</f>
        <v>Livro de Ocorrência</v>
      </c>
      <c r="B535" s="257">
        <f>Materiais!D6</f>
        <v>2</v>
      </c>
      <c r="C535" s="258">
        <f>Materiais!E6</f>
        <v>34.380000000000003</v>
      </c>
      <c r="D535" s="258">
        <f t="shared" si="131"/>
        <v>68.760000000000005</v>
      </c>
    </row>
    <row r="536" spans="1:4" ht="24" customHeight="1" x14ac:dyDescent="0.3">
      <c r="A536" s="1" t="str">
        <f>Materiais!B7</f>
        <v>Cassetete</v>
      </c>
      <c r="B536" s="257">
        <f>Materiais!D7</f>
        <v>1</v>
      </c>
      <c r="C536" s="258">
        <f>Materiais!E7</f>
        <v>42.63</v>
      </c>
      <c r="D536" s="258">
        <f t="shared" si="131"/>
        <v>42.63</v>
      </c>
    </row>
    <row r="537" spans="1:4" ht="24" customHeight="1" x14ac:dyDescent="0.3">
      <c r="A537" s="1" t="str">
        <f>Materiais!B8</f>
        <v>Porta cassetete</v>
      </c>
      <c r="B537" s="257">
        <f>Materiais!D8</f>
        <v>1</v>
      </c>
      <c r="C537" s="258">
        <f>Materiais!E8</f>
        <v>26.61</v>
      </c>
      <c r="D537" s="258">
        <f t="shared" si="131"/>
        <v>26.61</v>
      </c>
    </row>
    <row r="538" spans="1:4" ht="24" customHeight="1" x14ac:dyDescent="0.3">
      <c r="A538" s="1" t="str">
        <f>Materiais!B9</f>
        <v>Apito com Cordão</v>
      </c>
      <c r="B538" s="257">
        <f>Materiais!D9</f>
        <v>4</v>
      </c>
      <c r="C538" s="258">
        <f>Materiais!E9</f>
        <v>9.6300000000000008</v>
      </c>
      <c r="D538" s="258">
        <f t="shared" si="131"/>
        <v>38.520000000000003</v>
      </c>
    </row>
    <row r="539" spans="1:4" ht="24" customHeight="1" x14ac:dyDescent="0.3">
      <c r="A539" s="1" t="str">
        <f>Materiais!B10</f>
        <v>Lanterna Com Bateria sobressalente</v>
      </c>
      <c r="B539" s="257">
        <f>Materiais!D10</f>
        <v>1</v>
      </c>
      <c r="C539" s="258">
        <f>Materiais!E10</f>
        <v>73.86</v>
      </c>
      <c r="D539" s="258">
        <f t="shared" si="131"/>
        <v>73.86</v>
      </c>
    </row>
    <row r="540" spans="1:4" ht="24" customHeight="1" x14ac:dyDescent="0.3">
      <c r="A540" s="1" t="str">
        <f>Materiais!B11</f>
        <v>Munição</v>
      </c>
      <c r="B540" s="257">
        <f>Materiais!D11</f>
        <v>12</v>
      </c>
      <c r="C540" s="258">
        <f>Materiais!E11</f>
        <v>8.91</v>
      </c>
      <c r="D540" s="258">
        <f t="shared" si="131"/>
        <v>106.92</v>
      </c>
    </row>
    <row r="541" spans="1:4" ht="24" customHeight="1" x14ac:dyDescent="0.3">
      <c r="A541" s="1" t="str">
        <f>Materiais!B12</f>
        <v>Bastão de Ronda Eletrônica</v>
      </c>
      <c r="B541" s="257">
        <f>Materiais!D12</f>
        <v>1</v>
      </c>
      <c r="C541" s="258">
        <f>Materiais!E12</f>
        <v>684.98</v>
      </c>
      <c r="D541" s="258">
        <f t="shared" si="131"/>
        <v>684.98</v>
      </c>
    </row>
    <row r="542" spans="1:4" ht="24" customHeight="1" x14ac:dyDescent="0.3">
      <c r="A542" s="1" t="str">
        <f>Materiais!B13</f>
        <v>Prancheta</v>
      </c>
      <c r="B542" s="257">
        <f>Materiais!D13</f>
        <v>1</v>
      </c>
      <c r="C542" s="258">
        <f>Materiais!E13</f>
        <v>6.12</v>
      </c>
      <c r="D542" s="258">
        <f t="shared" si="131"/>
        <v>6.12</v>
      </c>
    </row>
    <row r="543" spans="1:4" ht="24" customHeight="1" thickBot="1" x14ac:dyDescent="0.35">
      <c r="A543" s="1" t="str">
        <f>Materiais!B14</f>
        <v>Caneta</v>
      </c>
      <c r="B543" s="257">
        <f>Materiais!D14</f>
        <v>1</v>
      </c>
      <c r="C543" s="258">
        <f>Materiais!E14</f>
        <v>1.51</v>
      </c>
      <c r="D543" s="258">
        <f t="shared" si="131"/>
        <v>1.51</v>
      </c>
    </row>
    <row r="544" spans="1:4" ht="24" customHeight="1" thickBot="1" x14ac:dyDescent="0.35">
      <c r="A544" s="400" t="s">
        <v>311</v>
      </c>
      <c r="B544" s="401"/>
      <c r="C544" s="403"/>
      <c r="D544" s="230">
        <f>SUM(D534:D543)/2</f>
        <v>578.83499999999992</v>
      </c>
    </row>
    <row r="545" spans="1:4" ht="24" customHeight="1" thickBot="1" x14ac:dyDescent="0.35">
      <c r="A545" s="325"/>
      <c r="B545" s="100"/>
      <c r="C545" s="100"/>
      <c r="D545" s="327"/>
    </row>
    <row r="546" spans="1:4" ht="24" customHeight="1" thickBot="1" x14ac:dyDescent="0.35">
      <c r="A546" s="400" t="s">
        <v>336</v>
      </c>
      <c r="B546" s="401"/>
      <c r="C546" s="401"/>
      <c r="D546" s="402"/>
    </row>
    <row r="547" spans="1:4" ht="24" customHeight="1" x14ac:dyDescent="0.3">
      <c r="A547" s="226" t="s">
        <v>144</v>
      </c>
      <c r="B547" s="227" t="s">
        <v>299</v>
      </c>
      <c r="C547" s="227" t="s">
        <v>146</v>
      </c>
      <c r="D547" s="228" t="s">
        <v>300</v>
      </c>
    </row>
    <row r="548" spans="1:4" ht="24" customHeight="1" x14ac:dyDescent="0.3">
      <c r="A548" s="1" t="str">
        <f>Materiais!B21</f>
        <v>Gasolina - Campo Grande</v>
      </c>
      <c r="B548" s="324">
        <f>Materiais!D21</f>
        <v>6328.2000000000007</v>
      </c>
      <c r="C548" s="258">
        <f>Materiais!E21</f>
        <v>5.75</v>
      </c>
      <c r="D548" s="258">
        <f>Materiais!F21</f>
        <v>36387.15</v>
      </c>
    </row>
    <row r="549" spans="1:4" ht="24" customHeight="1" thickBot="1" x14ac:dyDescent="0.35">
      <c r="A549" s="1" t="str">
        <f>Materiais!B22</f>
        <v>Gasolina - Terenos</v>
      </c>
      <c r="B549" s="324">
        <f>Materiais!D22</f>
        <v>439.79999999999995</v>
      </c>
      <c r="C549" s="258">
        <f>Materiais!E22</f>
        <v>5.75</v>
      </c>
      <c r="D549" s="258">
        <f>Materiais!F22</f>
        <v>2528.85</v>
      </c>
    </row>
    <row r="550" spans="1:4" ht="24" customHeight="1" thickBot="1" x14ac:dyDescent="0.35">
      <c r="A550" s="416" t="s">
        <v>337</v>
      </c>
      <c r="B550" s="417"/>
      <c r="C550" s="417"/>
      <c r="D550" s="230">
        <f>D548/2</f>
        <v>18193.575000000001</v>
      </c>
    </row>
    <row r="551" spans="1:4" ht="24" customHeight="1" thickBot="1" x14ac:dyDescent="0.35">
      <c r="A551" s="416" t="s">
        <v>338</v>
      </c>
      <c r="B551" s="417"/>
      <c r="C551" s="417"/>
      <c r="D551" s="230">
        <f>D549/2</f>
        <v>1264.425</v>
      </c>
    </row>
    <row r="552" spans="1:4" ht="24" customHeight="1" thickBot="1" x14ac:dyDescent="0.35">
      <c r="B552" s="100"/>
      <c r="C552" s="100"/>
      <c r="D552" s="100"/>
    </row>
    <row r="553" spans="1:4" ht="24" customHeight="1" thickBot="1" x14ac:dyDescent="0.35">
      <c r="A553" s="400" t="s">
        <v>335</v>
      </c>
      <c r="B553" s="401"/>
      <c r="C553" s="402"/>
      <c r="D553" s="100"/>
    </row>
    <row r="554" spans="1:4" ht="24" customHeight="1" thickBot="1" x14ac:dyDescent="0.35">
      <c r="A554" s="103" t="s">
        <v>3</v>
      </c>
      <c r="B554" s="104" t="s">
        <v>99</v>
      </c>
      <c r="C554" s="105" t="s">
        <v>151</v>
      </c>
      <c r="D554" s="100"/>
    </row>
    <row r="555" spans="1:4" ht="24" customHeight="1" x14ac:dyDescent="0.3">
      <c r="A555" s="3" t="s">
        <v>235</v>
      </c>
      <c r="B555" s="301">
        <f>D544</f>
        <v>578.83499999999992</v>
      </c>
      <c r="C555" s="302">
        <f t="shared" ref="C555:C562" si="132">(B555/12)</f>
        <v>48.236249999999991</v>
      </c>
      <c r="D555" s="100"/>
    </row>
    <row r="556" spans="1:4" ht="24" customHeight="1" thickBot="1" x14ac:dyDescent="0.35">
      <c r="A556" s="2" t="s">
        <v>238</v>
      </c>
      <c r="B556" s="303">
        <f>D544</f>
        <v>578.83499999999992</v>
      </c>
      <c r="C556" s="304">
        <f t="shared" si="132"/>
        <v>48.236249999999991</v>
      </c>
      <c r="D556" s="100"/>
    </row>
    <row r="557" spans="1:4" ht="24" customHeight="1" x14ac:dyDescent="0.3">
      <c r="A557" s="3" t="s">
        <v>341</v>
      </c>
      <c r="B557" s="301">
        <f>D544+D550</f>
        <v>18772.41</v>
      </c>
      <c r="C557" s="302">
        <f t="shared" si="132"/>
        <v>1564.3675000000001</v>
      </c>
      <c r="D557" s="100"/>
    </row>
    <row r="558" spans="1:4" ht="24" customHeight="1" thickBot="1" x14ac:dyDescent="0.35">
      <c r="A558" s="2" t="s">
        <v>342</v>
      </c>
      <c r="B558" s="303">
        <f>D544+D550</f>
        <v>18772.41</v>
      </c>
      <c r="C558" s="304">
        <f t="shared" si="132"/>
        <v>1564.3675000000001</v>
      </c>
      <c r="D558" s="100"/>
    </row>
    <row r="559" spans="1:4" ht="24" customHeight="1" x14ac:dyDescent="0.3">
      <c r="A559" s="3" t="s">
        <v>339</v>
      </c>
      <c r="B559" s="301">
        <f>D544+D551</f>
        <v>1843.2599999999998</v>
      </c>
      <c r="C559" s="302">
        <f t="shared" si="132"/>
        <v>153.60499999999999</v>
      </c>
      <c r="D559" s="100"/>
    </row>
    <row r="560" spans="1:4" ht="24" customHeight="1" thickBot="1" x14ac:dyDescent="0.35">
      <c r="A560" s="2" t="s">
        <v>340</v>
      </c>
      <c r="B560" s="303">
        <f>D544+D551</f>
        <v>1843.2599999999998</v>
      </c>
      <c r="C560" s="304">
        <f t="shared" si="132"/>
        <v>153.60499999999999</v>
      </c>
      <c r="D560" s="100"/>
    </row>
    <row r="561" spans="1:11" ht="24" customHeight="1" x14ac:dyDescent="0.3">
      <c r="A561" s="3" t="s">
        <v>236</v>
      </c>
      <c r="B561" s="301">
        <f>D544</f>
        <v>578.83499999999992</v>
      </c>
      <c r="C561" s="302">
        <f t="shared" si="132"/>
        <v>48.236249999999991</v>
      </c>
      <c r="D561" s="100"/>
    </row>
    <row r="562" spans="1:11" ht="24" customHeight="1" thickBot="1" x14ac:dyDescent="0.35">
      <c r="A562" s="2" t="s">
        <v>237</v>
      </c>
      <c r="B562" s="303">
        <f>D544</f>
        <v>578.83499999999992</v>
      </c>
      <c r="C562" s="304">
        <f t="shared" si="132"/>
        <v>48.236249999999991</v>
      </c>
      <c r="D562" s="100"/>
    </row>
    <row r="563" spans="1:11" ht="24" customHeight="1" thickBot="1" x14ac:dyDescent="0.35">
      <c r="B563" s="100"/>
      <c r="C563" s="100"/>
      <c r="D563" s="100"/>
    </row>
    <row r="564" spans="1:11" ht="24" customHeight="1" thickBot="1" x14ac:dyDescent="0.35">
      <c r="A564" s="404" t="s">
        <v>343</v>
      </c>
      <c r="B564" s="405"/>
      <c r="C564" s="405"/>
      <c r="D564" s="405"/>
      <c r="E564" s="415"/>
    </row>
    <row r="565" spans="1:11" ht="40.200000000000003" customHeight="1" thickBot="1" x14ac:dyDescent="0.35">
      <c r="A565" s="129" t="s">
        <v>152</v>
      </c>
      <c r="B565" s="130" t="s">
        <v>153</v>
      </c>
      <c r="C565" s="131" t="s">
        <v>145</v>
      </c>
      <c r="D565" s="131" t="s">
        <v>305</v>
      </c>
      <c r="E565" s="271" t="s">
        <v>344</v>
      </c>
    </row>
    <row r="566" spans="1:11" ht="24" customHeight="1" x14ac:dyDescent="0.3">
      <c r="A566" s="106" t="str">
        <f>Equipamentos!B5</f>
        <v>Trevolver Calibre 38</v>
      </c>
      <c r="B566" s="122">
        <f>Equipamentos!E5</f>
        <v>6870.25</v>
      </c>
      <c r="C566" s="107">
        <f>Equipamentos!D5</f>
        <v>1</v>
      </c>
      <c r="D566" s="107">
        <f>Equipamentos!C5</f>
        <v>120</v>
      </c>
      <c r="E566" s="272">
        <f>Equipamentos!F5</f>
        <v>57.252083333333331</v>
      </c>
    </row>
    <row r="567" spans="1:11" ht="24" customHeight="1" x14ac:dyDescent="0.3">
      <c r="A567" s="108" t="str">
        <f>Equipamentos!B6</f>
        <v>Colete (Placa)</v>
      </c>
      <c r="B567" s="123">
        <f>Equipamentos!E6</f>
        <v>1686.72</v>
      </c>
      <c r="C567" s="109">
        <f>Equipamentos!D6</f>
        <v>1</v>
      </c>
      <c r="D567" s="107">
        <f>Equipamentos!C6</f>
        <v>60</v>
      </c>
      <c r="E567" s="273">
        <f>Equipamentos!F6</f>
        <v>28.112000000000002</v>
      </c>
    </row>
    <row r="568" spans="1:11" ht="24" customHeight="1" thickBot="1" x14ac:dyDescent="0.35">
      <c r="A568" s="345" t="str">
        <f>Equipamentos!B7</f>
        <v>Rádio Comunicador</v>
      </c>
      <c r="B568" s="346">
        <f>Equipamentos!E7</f>
        <v>2316.66</v>
      </c>
      <c r="C568" s="347">
        <f>Equipamentos!D7</f>
        <v>1</v>
      </c>
      <c r="D568" s="348">
        <f>Equipamentos!C7</f>
        <v>36</v>
      </c>
      <c r="E568" s="344">
        <f>Equipamentos!F7</f>
        <v>64.351666666666659</v>
      </c>
      <c r="F568" s="90"/>
      <c r="G568" s="90"/>
      <c r="H568" s="90"/>
      <c r="I568" s="90"/>
      <c r="J568" s="90"/>
      <c r="K568" s="90"/>
    </row>
    <row r="569" spans="1:11" ht="24" customHeight="1" thickBot="1" x14ac:dyDescent="0.35">
      <c r="A569" s="404" t="s">
        <v>154</v>
      </c>
      <c r="B569" s="405"/>
      <c r="C569" s="405"/>
      <c r="D569" s="405"/>
      <c r="E569" s="230">
        <f>SUM(E561:E568)</f>
        <v>149.71574999999999</v>
      </c>
    </row>
    <row r="570" spans="1:11" ht="24" customHeight="1" thickBot="1" x14ac:dyDescent="0.35">
      <c r="A570" s="325"/>
      <c r="B570" s="100"/>
      <c r="C570" s="100"/>
      <c r="D570" s="100"/>
      <c r="E570" s="326"/>
    </row>
    <row r="571" spans="1:11" ht="24" customHeight="1" thickBot="1" x14ac:dyDescent="0.35">
      <c r="A571" s="404" t="s">
        <v>345</v>
      </c>
      <c r="B571" s="405"/>
      <c r="C571" s="405"/>
      <c r="D571" s="405"/>
      <c r="E571" s="415"/>
    </row>
    <row r="572" spans="1:11" ht="40.200000000000003" customHeight="1" thickBot="1" x14ac:dyDescent="0.35">
      <c r="A572" s="129" t="s">
        <v>152</v>
      </c>
      <c r="B572" s="130" t="s">
        <v>153</v>
      </c>
      <c r="C572" s="131" t="s">
        <v>145</v>
      </c>
      <c r="D572" s="131" t="s">
        <v>305</v>
      </c>
      <c r="E572" s="271" t="s">
        <v>344</v>
      </c>
    </row>
    <row r="573" spans="1:11" ht="24" customHeight="1" thickBot="1" x14ac:dyDescent="0.35">
      <c r="A573" s="345" t="str">
        <f>Equipamentos!B15</f>
        <v>Motocicleta</v>
      </c>
      <c r="B573" s="346">
        <f>Equipamentos!E15</f>
        <v>19035.080000000002</v>
      </c>
      <c r="C573" s="347">
        <f>Equipamentos!D15</f>
        <v>1</v>
      </c>
      <c r="D573" s="348">
        <f>Equipamentos!C15</f>
        <v>120</v>
      </c>
      <c r="E573" s="344">
        <f>Equipamentos!F15</f>
        <v>158.62566666666669</v>
      </c>
    </row>
    <row r="574" spans="1:11" ht="24" customHeight="1" thickBot="1" x14ac:dyDescent="0.35">
      <c r="A574" s="404" t="s">
        <v>154</v>
      </c>
      <c r="B574" s="405"/>
      <c r="C574" s="405"/>
      <c r="D574" s="405"/>
      <c r="E574" s="230">
        <f>SUM(E573)</f>
        <v>158.62566666666669</v>
      </c>
    </row>
    <row r="575" spans="1:11" ht="24" customHeight="1" thickBot="1" x14ac:dyDescent="0.35">
      <c r="B575" s="100"/>
      <c r="C575" s="100"/>
      <c r="D575" s="100"/>
    </row>
    <row r="576" spans="1:11" ht="24" customHeight="1" thickBot="1" x14ac:dyDescent="0.35">
      <c r="A576" s="406" t="s">
        <v>155</v>
      </c>
      <c r="B576" s="407"/>
      <c r="C576" s="407"/>
      <c r="D576" s="408"/>
    </row>
    <row r="577" spans="1:5" ht="24" customHeight="1" thickBot="1" x14ac:dyDescent="0.35">
      <c r="A577" s="103" t="s">
        <v>3</v>
      </c>
      <c r="B577" s="104" t="s">
        <v>99</v>
      </c>
      <c r="C577" s="104" t="s">
        <v>100</v>
      </c>
      <c r="D577" s="194" t="s">
        <v>123</v>
      </c>
    </row>
    <row r="578" spans="1:5" ht="24" customHeight="1" x14ac:dyDescent="0.3">
      <c r="A578" s="3" t="s">
        <v>235</v>
      </c>
      <c r="B578" s="301">
        <f>E569*12</f>
        <v>1796.5889999999999</v>
      </c>
      <c r="C578" s="301">
        <f t="shared" ref="C578:C585" si="133">(B578/12)</f>
        <v>149.71574999999999</v>
      </c>
      <c r="D578" s="328">
        <f t="shared" ref="D578:D585" si="134">C578/2</f>
        <v>74.857874999999993</v>
      </c>
    </row>
    <row r="579" spans="1:5" ht="24" customHeight="1" thickBot="1" x14ac:dyDescent="0.35">
      <c r="A579" s="2" t="s">
        <v>238</v>
      </c>
      <c r="B579" s="303">
        <f>E569*12</f>
        <v>1796.5889999999999</v>
      </c>
      <c r="C579" s="303">
        <f t="shared" si="133"/>
        <v>149.71574999999999</v>
      </c>
      <c r="D579" s="329">
        <f t="shared" si="134"/>
        <v>74.857874999999993</v>
      </c>
    </row>
    <row r="580" spans="1:5" ht="24" customHeight="1" x14ac:dyDescent="0.3">
      <c r="A580" s="3" t="s">
        <v>341</v>
      </c>
      <c r="B580" s="301">
        <f>(E569+E574)*12</f>
        <v>3700.0969999999998</v>
      </c>
      <c r="C580" s="301">
        <f>(B580/12)</f>
        <v>308.34141666666665</v>
      </c>
      <c r="D580" s="328">
        <f>C580/2</f>
        <v>154.17070833333332</v>
      </c>
    </row>
    <row r="581" spans="1:5" ht="24" customHeight="1" thickBot="1" x14ac:dyDescent="0.35">
      <c r="A581" s="2" t="s">
        <v>342</v>
      </c>
      <c r="B581" s="303">
        <f>(E569+E574)*12</f>
        <v>3700.0969999999998</v>
      </c>
      <c r="C581" s="303">
        <f t="shared" si="133"/>
        <v>308.34141666666665</v>
      </c>
      <c r="D581" s="329">
        <f t="shared" si="134"/>
        <v>154.17070833333332</v>
      </c>
    </row>
    <row r="582" spans="1:5" ht="24" customHeight="1" x14ac:dyDescent="0.3">
      <c r="A582" s="3" t="s">
        <v>339</v>
      </c>
      <c r="B582" s="301">
        <f>(E569+E574)*12</f>
        <v>3700.0969999999998</v>
      </c>
      <c r="C582" s="301">
        <f t="shared" si="133"/>
        <v>308.34141666666665</v>
      </c>
      <c r="D582" s="328">
        <f t="shared" si="134"/>
        <v>154.17070833333332</v>
      </c>
    </row>
    <row r="583" spans="1:5" ht="24" customHeight="1" thickBot="1" x14ac:dyDescent="0.35">
      <c r="A583" s="2" t="s">
        <v>340</v>
      </c>
      <c r="B583" s="303">
        <f>(E569+E574)*12</f>
        <v>3700.0969999999998</v>
      </c>
      <c r="C583" s="303">
        <f t="shared" si="133"/>
        <v>308.34141666666665</v>
      </c>
      <c r="D583" s="329">
        <f t="shared" si="134"/>
        <v>154.17070833333332</v>
      </c>
    </row>
    <row r="584" spans="1:5" ht="24" customHeight="1" x14ac:dyDescent="0.3">
      <c r="A584" s="3" t="s">
        <v>236</v>
      </c>
      <c r="B584" s="301">
        <f>E569*12</f>
        <v>1796.5889999999999</v>
      </c>
      <c r="C584" s="301">
        <f t="shared" si="133"/>
        <v>149.71574999999999</v>
      </c>
      <c r="D584" s="328">
        <f t="shared" si="134"/>
        <v>74.857874999999993</v>
      </c>
    </row>
    <row r="585" spans="1:5" ht="24" customHeight="1" thickBot="1" x14ac:dyDescent="0.35">
      <c r="A585" s="2" t="s">
        <v>237</v>
      </c>
      <c r="B585" s="303">
        <f>E569*12</f>
        <v>1796.5889999999999</v>
      </c>
      <c r="C585" s="303">
        <f t="shared" si="133"/>
        <v>149.71574999999999</v>
      </c>
      <c r="D585" s="329">
        <f t="shared" si="134"/>
        <v>74.857874999999993</v>
      </c>
    </row>
    <row r="586" spans="1:5" ht="24" customHeight="1" thickBot="1" x14ac:dyDescent="0.35"/>
    <row r="587" spans="1:5" ht="24" customHeight="1" thickBot="1" x14ac:dyDescent="0.35">
      <c r="A587" s="400" t="s">
        <v>109</v>
      </c>
      <c r="B587" s="401"/>
      <c r="C587" s="401"/>
      <c r="D587" s="401"/>
      <c r="E587" s="402"/>
    </row>
    <row r="588" spans="1:5" ht="47.4" thickBot="1" x14ac:dyDescent="0.35">
      <c r="A588" s="85" t="s">
        <v>3</v>
      </c>
      <c r="B588" s="110" t="s">
        <v>156</v>
      </c>
      <c r="C588" s="110" t="s">
        <v>302</v>
      </c>
      <c r="D588" s="110" t="s">
        <v>303</v>
      </c>
      <c r="E588" s="86" t="s">
        <v>4</v>
      </c>
    </row>
    <row r="589" spans="1:5" ht="24" customHeight="1" x14ac:dyDescent="0.3">
      <c r="A589" s="3" t="s">
        <v>235</v>
      </c>
      <c r="B589" s="111">
        <f>C523</f>
        <v>256.16666666666669</v>
      </c>
      <c r="C589" s="111">
        <f>C555</f>
        <v>48.236249999999991</v>
      </c>
      <c r="D589" s="111">
        <f>D578</f>
        <v>74.857874999999993</v>
      </c>
      <c r="E589" s="330">
        <f t="shared" ref="E589:E596" si="135">SUM(B589:D589)</f>
        <v>379.26079166666665</v>
      </c>
    </row>
    <row r="590" spans="1:5" ht="24" customHeight="1" thickBot="1" x14ac:dyDescent="0.35">
      <c r="A590" s="4" t="s">
        <v>238</v>
      </c>
      <c r="B590" s="331">
        <f>C524</f>
        <v>256.16666666666669</v>
      </c>
      <c r="C590" s="331">
        <f>C556</f>
        <v>48.236249999999991</v>
      </c>
      <c r="D590" s="331">
        <f>D579</f>
        <v>74.857874999999993</v>
      </c>
      <c r="E590" s="332">
        <f t="shared" si="135"/>
        <v>379.26079166666665</v>
      </c>
    </row>
    <row r="591" spans="1:5" ht="24" customHeight="1" x14ac:dyDescent="0.3">
      <c r="A591" s="3" t="s">
        <v>341</v>
      </c>
      <c r="B591" s="111">
        <f>C525</f>
        <v>256.16666666666669</v>
      </c>
      <c r="C591" s="111">
        <f>C557</f>
        <v>1564.3675000000001</v>
      </c>
      <c r="D591" s="111">
        <f>D580</f>
        <v>154.17070833333332</v>
      </c>
      <c r="E591" s="330">
        <f t="shared" si="135"/>
        <v>1974.7048750000001</v>
      </c>
    </row>
    <row r="592" spans="1:5" ht="24" customHeight="1" thickBot="1" x14ac:dyDescent="0.35">
      <c r="A592" s="4" t="s">
        <v>342</v>
      </c>
      <c r="B592" s="331">
        <f>C526</f>
        <v>256.16666666666669</v>
      </c>
      <c r="C592" s="331">
        <f>C558</f>
        <v>1564.3675000000001</v>
      </c>
      <c r="D592" s="331">
        <f>D581</f>
        <v>154.17070833333332</v>
      </c>
      <c r="E592" s="332">
        <f t="shared" si="135"/>
        <v>1974.7048750000001</v>
      </c>
    </row>
    <row r="593" spans="1:8" ht="24" customHeight="1" x14ac:dyDescent="0.3">
      <c r="A593" s="3" t="s">
        <v>339</v>
      </c>
      <c r="B593" s="111">
        <f t="shared" ref="B593:B594" si="136">C529</f>
        <v>256.16666666666669</v>
      </c>
      <c r="C593" s="111">
        <f t="shared" ref="C593:C594" si="137">C559</f>
        <v>153.60499999999999</v>
      </c>
      <c r="D593" s="111">
        <f t="shared" ref="D593:D594" si="138">D582</f>
        <v>154.17070833333332</v>
      </c>
      <c r="E593" s="330">
        <f t="shared" si="135"/>
        <v>563.94237499999997</v>
      </c>
    </row>
    <row r="594" spans="1:8" ht="24" customHeight="1" thickBot="1" x14ac:dyDescent="0.35">
      <c r="A594" s="4" t="s">
        <v>340</v>
      </c>
      <c r="B594" s="331">
        <f t="shared" si="136"/>
        <v>256.16666666666669</v>
      </c>
      <c r="C594" s="331">
        <f t="shared" si="137"/>
        <v>153.60499999999999</v>
      </c>
      <c r="D594" s="331">
        <f t="shared" si="138"/>
        <v>154.17070833333332</v>
      </c>
      <c r="E594" s="332">
        <f t="shared" si="135"/>
        <v>563.94237499999997</v>
      </c>
    </row>
    <row r="595" spans="1:8" ht="24" customHeight="1" x14ac:dyDescent="0.3">
      <c r="A595" s="3" t="s">
        <v>236</v>
      </c>
      <c r="B595" s="111">
        <f>C529</f>
        <v>256.16666666666669</v>
      </c>
      <c r="C595" s="111">
        <f>C561</f>
        <v>48.236249999999991</v>
      </c>
      <c r="D595" s="111">
        <f>D584</f>
        <v>74.857874999999993</v>
      </c>
      <c r="E595" s="330">
        <f t="shared" si="135"/>
        <v>379.26079166666665</v>
      </c>
    </row>
    <row r="596" spans="1:8" ht="24" customHeight="1" thickBot="1" x14ac:dyDescent="0.35">
      <c r="A596" s="2" t="s">
        <v>237</v>
      </c>
      <c r="B596" s="333">
        <f>C530</f>
        <v>256.16666666666669</v>
      </c>
      <c r="C596" s="333">
        <f>C562</f>
        <v>48.236249999999991</v>
      </c>
      <c r="D596" s="333">
        <f>D585</f>
        <v>74.857874999999993</v>
      </c>
      <c r="E596" s="334">
        <f t="shared" si="135"/>
        <v>379.26079166666665</v>
      </c>
    </row>
    <row r="598" spans="1:8" ht="24" customHeight="1" x14ac:dyDescent="0.3">
      <c r="A598" s="378" t="s">
        <v>110</v>
      </c>
      <c r="B598" s="378"/>
      <c r="C598" s="378"/>
      <c r="D598" s="378"/>
      <c r="E598" s="378"/>
      <c r="F598" s="378"/>
      <c r="G598" s="378"/>
      <c r="H598" s="378"/>
    </row>
    <row r="599" spans="1:8" ht="24" customHeight="1" thickBot="1" x14ac:dyDescent="0.35">
      <c r="A599" s="414"/>
      <c r="B599" s="414"/>
      <c r="C599" s="414"/>
      <c r="D599" s="414"/>
      <c r="E599" s="414"/>
      <c r="F599" s="414"/>
    </row>
    <row r="600" spans="1:8" ht="26.25" customHeight="1" x14ac:dyDescent="0.3">
      <c r="A600" s="392" t="s">
        <v>137</v>
      </c>
      <c r="B600" s="393"/>
      <c r="C600" s="92"/>
      <c r="D600" s="92"/>
      <c r="E600" s="92"/>
      <c r="F600" s="92"/>
    </row>
    <row r="601" spans="1:8" ht="24" customHeight="1" x14ac:dyDescent="0.3">
      <c r="A601" s="95" t="s">
        <v>138</v>
      </c>
      <c r="B601" s="351">
        <v>0.03</v>
      </c>
      <c r="C601" s="92"/>
      <c r="D601" s="92"/>
      <c r="E601" s="92"/>
      <c r="F601" s="92"/>
    </row>
    <row r="602" spans="1:8" ht="24" customHeight="1" x14ac:dyDescent="0.3">
      <c r="A602" s="95" t="s">
        <v>139</v>
      </c>
      <c r="B602" s="351">
        <v>8.6499999999999994E-2</v>
      </c>
      <c r="C602" s="92"/>
      <c r="D602" s="92"/>
      <c r="E602" s="92"/>
      <c r="F602" s="92"/>
    </row>
    <row r="603" spans="1:8" ht="24" customHeight="1" thickBot="1" x14ac:dyDescent="0.35">
      <c r="A603" s="96" t="s">
        <v>140</v>
      </c>
      <c r="B603" s="352">
        <v>3.2599999999999997E-2</v>
      </c>
      <c r="C603" s="92"/>
      <c r="D603" s="92"/>
      <c r="E603" s="92"/>
      <c r="F603" s="92"/>
    </row>
    <row r="604" spans="1:8" ht="24" customHeight="1" thickBot="1" x14ac:dyDescent="0.35"/>
    <row r="605" spans="1:8" ht="24" customHeight="1" thickBot="1" x14ac:dyDescent="0.35">
      <c r="A605" s="373" t="s">
        <v>110</v>
      </c>
      <c r="B605" s="374"/>
      <c r="C605" s="374"/>
      <c r="D605" s="375"/>
    </row>
    <row r="606" spans="1:8" ht="24" customHeight="1" thickBot="1" x14ac:dyDescent="0.35">
      <c r="A606" s="12" t="s">
        <v>3</v>
      </c>
      <c r="B606" s="13" t="s">
        <v>1</v>
      </c>
      <c r="C606" s="13" t="s">
        <v>2</v>
      </c>
      <c r="D606" s="14" t="s">
        <v>4</v>
      </c>
    </row>
    <row r="607" spans="1:8" ht="24" customHeight="1" x14ac:dyDescent="0.3">
      <c r="A607" s="3" t="s">
        <v>235</v>
      </c>
      <c r="B607" s="83">
        <f>H75+E293+E411+D496+D589</f>
        <v>5203.8764046116048</v>
      </c>
      <c r="C607" s="97">
        <f t="shared" ref="C607:C614" si="139">((1+$B$601)/(1-$B$602-$B$603))-1</f>
        <v>0.16925871268021342</v>
      </c>
      <c r="D607" s="7">
        <f t="shared" ref="D607:D614" si="140">B607*C607</f>
        <v>880.80142119149764</v>
      </c>
    </row>
    <row r="608" spans="1:8" ht="24" customHeight="1" thickBot="1" x14ac:dyDescent="0.35">
      <c r="A608" s="4" t="s">
        <v>238</v>
      </c>
      <c r="B608" s="84">
        <f>H76+E294+E412+D497+D590</f>
        <v>5935.2711949943287</v>
      </c>
      <c r="C608" s="98">
        <f t="shared" si="139"/>
        <v>0.16925871268021342</v>
      </c>
      <c r="D608" s="8">
        <f t="shared" si="140"/>
        <v>1004.596361872692</v>
      </c>
    </row>
    <row r="609" spans="1:8" ht="24" customHeight="1" x14ac:dyDescent="0.3">
      <c r="A609" s="3" t="s">
        <v>341</v>
      </c>
      <c r="B609" s="83">
        <f>H77+E295+E413+D498+D591</f>
        <v>5658.5812602767437</v>
      </c>
      <c r="C609" s="97">
        <f t="shared" si="139"/>
        <v>0.16925871268021342</v>
      </c>
      <c r="D609" s="7">
        <f t="shared" si="140"/>
        <v>957.76417971082128</v>
      </c>
    </row>
    <row r="610" spans="1:8" ht="24" customHeight="1" thickBot="1" x14ac:dyDescent="0.35">
      <c r="A610" s="4" t="s">
        <v>342</v>
      </c>
      <c r="B610" s="84">
        <f>H78+E296+E414+D499+D592</f>
        <v>6342.0434628890343</v>
      </c>
      <c r="C610" s="98">
        <f t="shared" si="139"/>
        <v>0.16925871268021342</v>
      </c>
      <c r="D610" s="8">
        <f t="shared" si="140"/>
        <v>1073.4461122905609</v>
      </c>
    </row>
    <row r="611" spans="1:8" ht="24" customHeight="1" x14ac:dyDescent="0.3">
      <c r="A611" s="3" t="s">
        <v>339</v>
      </c>
      <c r="B611" s="83">
        <f>H81+E299+E417+D502+D593</f>
        <v>5347.4926938067047</v>
      </c>
      <c r="C611" s="97">
        <f t="shared" si="139"/>
        <v>0.16925871268021342</v>
      </c>
      <c r="D611" s="7">
        <f t="shared" ref="D611:D612" si="141">B611*C611</f>
        <v>905.10972942056947</v>
      </c>
    </row>
    <row r="612" spans="1:8" ht="24" customHeight="1" thickBot="1" x14ac:dyDescent="0.35">
      <c r="A612" s="4" t="s">
        <v>340</v>
      </c>
      <c r="B612" s="84">
        <f>H82+E300+E418+D503+D594</f>
        <v>6034.5264518495724</v>
      </c>
      <c r="C612" s="98">
        <f t="shared" si="139"/>
        <v>0.16925871268021342</v>
      </c>
      <c r="D612" s="8">
        <f t="shared" si="141"/>
        <v>1021.3961788747545</v>
      </c>
    </row>
    <row r="613" spans="1:8" ht="24" customHeight="1" x14ac:dyDescent="0.3">
      <c r="A613" s="3" t="s">
        <v>236</v>
      </c>
      <c r="B613" s="83">
        <f>H81+E299+E417+D502+D595</f>
        <v>5268.1798604733713</v>
      </c>
      <c r="C613" s="97">
        <f t="shared" si="139"/>
        <v>0.16925871268021342</v>
      </c>
      <c r="D613" s="7">
        <f t="shared" si="140"/>
        <v>891.68534135154914</v>
      </c>
    </row>
    <row r="614" spans="1:8" ht="24" customHeight="1" thickBot="1" x14ac:dyDescent="0.35">
      <c r="A614" s="2" t="s">
        <v>237</v>
      </c>
      <c r="B614" s="233">
        <f>H82+E300+E418+D503+D596</f>
        <v>5955.213618516239</v>
      </c>
      <c r="C614" s="234">
        <f t="shared" si="139"/>
        <v>0.16925871268021342</v>
      </c>
      <c r="D614" s="67">
        <f t="shared" si="140"/>
        <v>1007.9717908057341</v>
      </c>
    </row>
    <row r="616" spans="1:8" ht="24" customHeight="1" x14ac:dyDescent="0.3">
      <c r="A616" s="378" t="s">
        <v>260</v>
      </c>
      <c r="B616" s="378"/>
      <c r="C616" s="378"/>
      <c r="D616" s="378"/>
      <c r="E616" s="378"/>
      <c r="F616" s="378"/>
      <c r="G616" s="378"/>
      <c r="H616" s="378"/>
    </row>
    <row r="617" spans="1:8" ht="24" customHeight="1" x14ac:dyDescent="0.3">
      <c r="A617" s="379" t="s">
        <v>225</v>
      </c>
      <c r="B617" s="379"/>
      <c r="C617" s="379"/>
      <c r="D617" s="379"/>
      <c r="E617" s="379"/>
      <c r="F617" s="379"/>
    </row>
    <row r="618" spans="1:8" ht="24" customHeight="1" thickBot="1" x14ac:dyDescent="0.35"/>
    <row r="619" spans="1:8" ht="24" customHeight="1" thickBot="1" x14ac:dyDescent="0.35">
      <c r="A619" s="373" t="s">
        <v>112</v>
      </c>
      <c r="B619" s="374"/>
      <c r="C619" s="374"/>
      <c r="D619" s="375"/>
    </row>
    <row r="620" spans="1:8" ht="24" customHeight="1" thickBot="1" x14ac:dyDescent="0.35">
      <c r="A620" s="37" t="s">
        <v>3</v>
      </c>
      <c r="B620" s="38" t="s">
        <v>1</v>
      </c>
      <c r="C620" s="38" t="s">
        <v>111</v>
      </c>
      <c r="D620" s="39" t="s">
        <v>4</v>
      </c>
    </row>
    <row r="621" spans="1:8" ht="24" customHeight="1" x14ac:dyDescent="0.3">
      <c r="A621" s="3" t="s">
        <v>236</v>
      </c>
      <c r="B621" s="5">
        <f>H81+E417+D502+D595+D613</f>
        <v>3843.7025267332547</v>
      </c>
      <c r="C621" s="68">
        <v>28</v>
      </c>
      <c r="D621" s="7">
        <f>B621/C621</f>
        <v>137.27509024047339</v>
      </c>
    </row>
    <row r="622" spans="1:8" ht="24" customHeight="1" thickBot="1" x14ac:dyDescent="0.35">
      <c r="A622" s="2" t="s">
        <v>237</v>
      </c>
      <c r="B622" s="65">
        <f>H82+E418+D503+D596+D614</f>
        <v>4391.9449706150299</v>
      </c>
      <c r="C622" s="69">
        <v>30</v>
      </c>
      <c r="D622" s="67">
        <f>B622/C622</f>
        <v>146.39816568716768</v>
      </c>
    </row>
    <row r="624" spans="1:8" ht="24" customHeight="1" x14ac:dyDescent="0.3">
      <c r="A624" s="378" t="s">
        <v>141</v>
      </c>
      <c r="B624" s="378"/>
      <c r="C624" s="378"/>
      <c r="D624" s="378"/>
      <c r="E624" s="378"/>
      <c r="F624" s="378"/>
      <c r="G624" s="378"/>
      <c r="H624" s="378"/>
    </row>
    <row r="625" spans="1:7" ht="24" customHeight="1" thickBot="1" x14ac:dyDescent="0.35"/>
    <row r="626" spans="1:7" ht="24" customHeight="1" thickBot="1" x14ac:dyDescent="0.35">
      <c r="A626" s="373" t="s">
        <v>142</v>
      </c>
      <c r="B626" s="374"/>
      <c r="C626" s="374"/>
      <c r="D626" s="374"/>
      <c r="E626" s="374"/>
      <c r="F626" s="374"/>
      <c r="G626" s="375"/>
    </row>
    <row r="627" spans="1:7" ht="33.6" customHeight="1" thickBot="1" x14ac:dyDescent="0.35">
      <c r="A627" s="231"/>
      <c r="B627" s="377" t="s">
        <v>354</v>
      </c>
      <c r="C627" s="372"/>
      <c r="D627" s="371" t="s">
        <v>351</v>
      </c>
      <c r="E627" s="372"/>
      <c r="F627" s="371" t="s">
        <v>350</v>
      </c>
      <c r="G627" s="372"/>
    </row>
    <row r="628" spans="1:7" ht="24" customHeight="1" thickBot="1" x14ac:dyDescent="0.35">
      <c r="A628" s="153" t="s">
        <v>113</v>
      </c>
      <c r="B628" s="35" t="s">
        <v>114</v>
      </c>
      <c r="C628" s="36" t="s">
        <v>115</v>
      </c>
      <c r="D628" s="35" t="s">
        <v>114</v>
      </c>
      <c r="E628" s="36" t="s">
        <v>115</v>
      </c>
      <c r="F628" s="35" t="s">
        <v>114</v>
      </c>
      <c r="G628" s="36" t="s">
        <v>115</v>
      </c>
    </row>
    <row r="629" spans="1:7" ht="24" customHeight="1" x14ac:dyDescent="0.3">
      <c r="A629" s="40" t="s">
        <v>116</v>
      </c>
      <c r="B629" s="5">
        <f>H75</f>
        <v>2284.8468499999999</v>
      </c>
      <c r="C629" s="5">
        <f>H76</f>
        <v>2665.6546583333334</v>
      </c>
      <c r="D629" s="5">
        <f>H77</f>
        <v>2492.9184500000001</v>
      </c>
      <c r="E629" s="5">
        <f>H78</f>
        <v>2873.7262583333336</v>
      </c>
      <c r="F629" s="5">
        <f>H79</f>
        <v>2492.9184500000001</v>
      </c>
      <c r="G629" s="63">
        <f>H80</f>
        <v>2873.7262583333336</v>
      </c>
    </row>
    <row r="630" spans="1:7" ht="24" customHeight="1" x14ac:dyDescent="0.3">
      <c r="A630" s="23" t="s">
        <v>117</v>
      </c>
      <c r="B630" s="6">
        <f>E293</f>
        <v>2176.7893816916667</v>
      </c>
      <c r="C630" s="6">
        <f>E294</f>
        <v>2431.8671453069446</v>
      </c>
      <c r="D630" s="6">
        <f>E295</f>
        <v>2316.1626750916671</v>
      </c>
      <c r="E630" s="6">
        <f>E296</f>
        <v>2526.8763290361112</v>
      </c>
      <c r="F630" s="6">
        <f>E297</f>
        <v>2225.6805750916669</v>
      </c>
      <c r="G630" s="237">
        <f>E298</f>
        <v>2436.394229036111</v>
      </c>
    </row>
    <row r="631" spans="1:7" ht="24" customHeight="1" x14ac:dyDescent="0.3">
      <c r="A631" s="23" t="s">
        <v>118</v>
      </c>
      <c r="B631" s="6">
        <f>E411</f>
        <v>100.99607653556723</v>
      </c>
      <c r="C631" s="6">
        <f>E412</f>
        <v>115.73897890482841</v>
      </c>
      <c r="D631" s="6">
        <f>E413</f>
        <v>109.05152922715389</v>
      </c>
      <c r="E631" s="6">
        <f>E414</f>
        <v>122.76585701251318</v>
      </c>
      <c r="F631" s="6">
        <f>E415</f>
        <v>107.29617648715391</v>
      </c>
      <c r="G631" s="237">
        <f>E416</f>
        <v>121.01050427251317</v>
      </c>
    </row>
    <row r="632" spans="1:7" ht="24" customHeight="1" x14ac:dyDescent="0.3">
      <c r="A632" s="23" t="s">
        <v>119</v>
      </c>
      <c r="B632" s="6">
        <f>D496</f>
        <v>566.38622138437165</v>
      </c>
      <c r="C632" s="6">
        <f>D497</f>
        <v>647.15253744922222</v>
      </c>
      <c r="D632" s="6">
        <f>D498</f>
        <v>586.27789762458997</v>
      </c>
      <c r="E632" s="6">
        <f>D499</f>
        <v>664.50431017374308</v>
      </c>
      <c r="F632" s="6">
        <f>D500</f>
        <v>581.11684063182452</v>
      </c>
      <c r="G632" s="237">
        <f>D501</f>
        <v>659.34325318097763</v>
      </c>
    </row>
    <row r="633" spans="1:7" ht="24" customHeight="1" x14ac:dyDescent="0.3">
      <c r="A633" s="23" t="s">
        <v>120</v>
      </c>
      <c r="B633" s="6">
        <f>E589</f>
        <v>379.26079166666665</v>
      </c>
      <c r="C633" s="6">
        <f>E590</f>
        <v>379.26079166666665</v>
      </c>
      <c r="D633" s="6">
        <f>E591</f>
        <v>1974.7048750000001</v>
      </c>
      <c r="E633" s="6">
        <f>E592</f>
        <v>1974.7048750000001</v>
      </c>
      <c r="F633" s="6">
        <f>E593</f>
        <v>563.94237499999997</v>
      </c>
      <c r="G633" s="237">
        <f>E594</f>
        <v>563.94237499999997</v>
      </c>
    </row>
    <row r="634" spans="1:7" ht="24" customHeight="1" x14ac:dyDescent="0.3">
      <c r="A634" s="23" t="s">
        <v>121</v>
      </c>
      <c r="B634" s="6">
        <f>D607</f>
        <v>880.80142119149764</v>
      </c>
      <c r="C634" s="6">
        <f>D608</f>
        <v>1004.596361872692</v>
      </c>
      <c r="D634" s="6">
        <f>D609</f>
        <v>957.76417971082128</v>
      </c>
      <c r="E634" s="6">
        <f>D610</f>
        <v>1073.4461122905609</v>
      </c>
      <c r="F634" s="6">
        <f>D611</f>
        <v>905.10972942056947</v>
      </c>
      <c r="G634" s="237">
        <f>D612</f>
        <v>1021.3961788747545</v>
      </c>
    </row>
    <row r="635" spans="1:7" ht="24" customHeight="1" thickBot="1" x14ac:dyDescent="0.35">
      <c r="A635" s="24" t="s">
        <v>124</v>
      </c>
      <c r="B635" s="74">
        <f>D621</f>
        <v>137.27509024047339</v>
      </c>
      <c r="C635" s="74">
        <f>D622</f>
        <v>146.39816568716768</v>
      </c>
      <c r="D635" s="74">
        <f>D621</f>
        <v>137.27509024047339</v>
      </c>
      <c r="E635" s="74">
        <f>D622</f>
        <v>146.39816568716768</v>
      </c>
      <c r="F635" s="74">
        <f>D621</f>
        <v>137.27509024047339</v>
      </c>
      <c r="G635" s="335">
        <f>D622</f>
        <v>146.39816568716768</v>
      </c>
    </row>
    <row r="636" spans="1:7" ht="24" customHeight="1" thickBot="1" x14ac:dyDescent="0.35">
      <c r="A636" s="336" t="s">
        <v>122</v>
      </c>
      <c r="B636" s="337">
        <f>ROUND(SUM(B629:B635),(2))</f>
        <v>6526.36</v>
      </c>
      <c r="C636" s="337">
        <f t="shared" ref="C636:G636" si="142">ROUND(SUM(C629:C635),(2))</f>
        <v>7390.67</v>
      </c>
      <c r="D636" s="337">
        <f t="shared" si="142"/>
        <v>8574.15</v>
      </c>
      <c r="E636" s="337">
        <f t="shared" si="142"/>
        <v>9382.42</v>
      </c>
      <c r="F636" s="337">
        <f t="shared" si="142"/>
        <v>7013.34</v>
      </c>
      <c r="G636" s="338">
        <f t="shared" si="142"/>
        <v>7822.21</v>
      </c>
    </row>
    <row r="637" spans="1:7" ht="24" customHeight="1" thickBot="1" x14ac:dyDescent="0.35">
      <c r="A637" s="153" t="s">
        <v>123</v>
      </c>
      <c r="B637" s="59">
        <f>ROUND((B636),(2))*2</f>
        <v>13052.72</v>
      </c>
      <c r="C637" s="59">
        <f t="shared" ref="C637:G637" si="143">ROUND((C636),(2))*2</f>
        <v>14781.34</v>
      </c>
      <c r="D637" s="59">
        <f t="shared" si="143"/>
        <v>17148.3</v>
      </c>
      <c r="E637" s="59">
        <f t="shared" si="143"/>
        <v>18764.84</v>
      </c>
      <c r="F637" s="59">
        <f t="shared" si="143"/>
        <v>14026.68</v>
      </c>
      <c r="G637" s="238">
        <f t="shared" si="143"/>
        <v>15644.42</v>
      </c>
    </row>
    <row r="638" spans="1:7" ht="24" customHeight="1" x14ac:dyDescent="0.3">
      <c r="A638" s="52"/>
    </row>
    <row r="639" spans="1:7" ht="24" customHeight="1" x14ac:dyDescent="0.3">
      <c r="A639" s="52"/>
      <c r="B639" s="349"/>
    </row>
    <row r="640" spans="1:7" ht="24" customHeight="1" x14ac:dyDescent="0.3">
      <c r="A640" s="52"/>
      <c r="B640" s="350"/>
    </row>
    <row r="641" spans="2:2" ht="24" customHeight="1" x14ac:dyDescent="0.3">
      <c r="B641" s="176"/>
    </row>
  </sheetData>
  <mergeCells count="110">
    <mergeCell ref="A598:H598"/>
    <mergeCell ref="A494:D494"/>
    <mergeCell ref="A469:E469"/>
    <mergeCell ref="A206:D206"/>
    <mergeCell ref="A184:E184"/>
    <mergeCell ref="A147:D147"/>
    <mergeCell ref="A132:H132"/>
    <mergeCell ref="A110:E110"/>
    <mergeCell ref="A599:F599"/>
    <mergeCell ref="A252:D252"/>
    <mergeCell ref="A182:E182"/>
    <mergeCell ref="D424:E424"/>
    <mergeCell ref="A532:D532"/>
    <mergeCell ref="A544:C544"/>
    <mergeCell ref="A553:C553"/>
    <mergeCell ref="A587:E587"/>
    <mergeCell ref="A564:E564"/>
    <mergeCell ref="A569:D569"/>
    <mergeCell ref="A571:E571"/>
    <mergeCell ref="A546:D546"/>
    <mergeCell ref="A550:C550"/>
    <mergeCell ref="A551:C551"/>
    <mergeCell ref="A291:E291"/>
    <mergeCell ref="A313:H313"/>
    <mergeCell ref="A507:D507"/>
    <mergeCell ref="A519:C519"/>
    <mergeCell ref="A521:C521"/>
    <mergeCell ref="A169:D169"/>
    <mergeCell ref="A574:D574"/>
    <mergeCell ref="A576:D576"/>
    <mergeCell ref="A492:H492"/>
    <mergeCell ref="A505:H505"/>
    <mergeCell ref="A253:D253"/>
    <mergeCell ref="A265:D265"/>
    <mergeCell ref="A289:E289"/>
    <mergeCell ref="A315:D315"/>
    <mergeCell ref="A337:F337"/>
    <mergeCell ref="A217:D217"/>
    <mergeCell ref="A267:D267"/>
    <mergeCell ref="A304:B304"/>
    <mergeCell ref="A326:D326"/>
    <mergeCell ref="A302:H302"/>
    <mergeCell ref="A278:F278"/>
    <mergeCell ref="A1:H1"/>
    <mergeCell ref="A6:H6"/>
    <mergeCell ref="A10:B10"/>
    <mergeCell ref="A2:H2"/>
    <mergeCell ref="A8:H8"/>
    <mergeCell ref="A4:H4"/>
    <mergeCell ref="A88:D88"/>
    <mergeCell ref="A135:B135"/>
    <mergeCell ref="A21:D21"/>
    <mergeCell ref="A16:D16"/>
    <mergeCell ref="A14:H14"/>
    <mergeCell ref="A53:D53"/>
    <mergeCell ref="A48:E48"/>
    <mergeCell ref="A43:E43"/>
    <mergeCell ref="A41:H41"/>
    <mergeCell ref="A30:D30"/>
    <mergeCell ref="A28:H28"/>
    <mergeCell ref="A58:H58"/>
    <mergeCell ref="A121:E121"/>
    <mergeCell ref="A605:D605"/>
    <mergeCell ref="A619:D619"/>
    <mergeCell ref="A617:F617"/>
    <mergeCell ref="A616:H616"/>
    <mergeCell ref="A348:H348"/>
    <mergeCell ref="A383:H383"/>
    <mergeCell ref="A372:F372"/>
    <mergeCell ref="A456:H456"/>
    <mergeCell ref="A480:H480"/>
    <mergeCell ref="A424:A425"/>
    <mergeCell ref="B424:B425"/>
    <mergeCell ref="C424:C425"/>
    <mergeCell ref="A409:E409"/>
    <mergeCell ref="A422:E422"/>
    <mergeCell ref="A423:E423"/>
    <mergeCell ref="B440:C440"/>
    <mergeCell ref="A439:C439"/>
    <mergeCell ref="A407:H407"/>
    <mergeCell ref="A420:H420"/>
    <mergeCell ref="A350:D350"/>
    <mergeCell ref="A361:D361"/>
    <mergeCell ref="A396:D396"/>
    <mergeCell ref="A385:E385"/>
    <mergeCell ref="A600:B600"/>
    <mergeCell ref="F627:G627"/>
    <mergeCell ref="A626:G626"/>
    <mergeCell ref="I45:L45"/>
    <mergeCell ref="D627:E627"/>
    <mergeCell ref="B627:C627"/>
    <mergeCell ref="A254:D254"/>
    <mergeCell ref="A71:H71"/>
    <mergeCell ref="A84:H84"/>
    <mergeCell ref="A133:H133"/>
    <mergeCell ref="A219:D219"/>
    <mergeCell ref="A230:D230"/>
    <mergeCell ref="A241:D241"/>
    <mergeCell ref="A195:E195"/>
    <mergeCell ref="A180:H180"/>
    <mergeCell ref="A158:D158"/>
    <mergeCell ref="A99:D99"/>
    <mergeCell ref="A73:H73"/>
    <mergeCell ref="A624:H624"/>
    <mergeCell ref="A482:D482"/>
    <mergeCell ref="A487:D487"/>
    <mergeCell ref="A440:A441"/>
    <mergeCell ref="A458:D458"/>
    <mergeCell ref="A86:H86"/>
    <mergeCell ref="A60:D60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  <ignoredErrors>
    <ignoredError sqref="C76:C77 E630:E632 E634:E635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31"/>
  <sheetViews>
    <sheetView showGridLines="0" zoomScale="115" zoomScaleNormal="115" workbookViewId="0">
      <selection activeCell="C129" sqref="C129"/>
    </sheetView>
  </sheetViews>
  <sheetFormatPr defaultColWidth="9.109375" defaultRowHeight="15.6" x14ac:dyDescent="0.3"/>
  <cols>
    <col min="1" max="1" width="9.109375" style="120"/>
    <col min="2" max="2" width="76.5546875" style="120" customWidth="1"/>
    <col min="3" max="3" width="18" style="120" customWidth="1"/>
    <col min="4" max="4" width="14.33203125" style="120" customWidth="1"/>
    <col min="5" max="5" width="12.6640625" style="120" customWidth="1"/>
    <col min="6" max="6" width="12" style="120" customWidth="1"/>
    <col min="7" max="7" width="15.109375" style="120" customWidth="1"/>
    <col min="8" max="16384" width="9.109375" style="120"/>
  </cols>
  <sheetData>
    <row r="1" spans="1:4" ht="22.8" x14ac:dyDescent="0.4">
      <c r="A1" s="394" t="s">
        <v>220</v>
      </c>
      <c r="B1" s="394"/>
      <c r="C1" s="394"/>
      <c r="D1" s="394"/>
    </row>
    <row r="2" spans="1:4" ht="22.8" x14ac:dyDescent="0.4">
      <c r="A2" s="394" t="s">
        <v>232</v>
      </c>
      <c r="B2" s="394"/>
      <c r="C2" s="394"/>
      <c r="D2" s="394"/>
    </row>
    <row r="3" spans="1:4" x14ac:dyDescent="0.3">
      <c r="A3" s="423" t="s">
        <v>226</v>
      </c>
      <c r="B3" s="423"/>
      <c r="C3" s="423"/>
      <c r="D3" s="423"/>
    </row>
    <row r="4" spans="1:4" ht="16.2" thickBot="1" x14ac:dyDescent="0.35">
      <c r="A4" s="145"/>
      <c r="B4" s="145"/>
      <c r="C4" s="145"/>
      <c r="D4" s="145"/>
    </row>
    <row r="5" spans="1:4" ht="16.2" thickBot="1" x14ac:dyDescent="0.35">
      <c r="A5" s="420" t="s">
        <v>241</v>
      </c>
      <c r="B5" s="421"/>
      <c r="C5" s="422"/>
      <c r="D5" s="145"/>
    </row>
    <row r="6" spans="1:4" s="220" customFormat="1" ht="16.2" thickBot="1" x14ac:dyDescent="0.35">
      <c r="A6" s="428" t="s">
        <v>230</v>
      </c>
      <c r="B6" s="429"/>
      <c r="C6" s="430"/>
      <c r="D6" s="219"/>
    </row>
    <row r="8" spans="1:4" x14ac:dyDescent="0.3">
      <c r="A8" s="413" t="s">
        <v>157</v>
      </c>
      <c r="B8" s="413"/>
      <c r="C8" s="413"/>
    </row>
    <row r="9" spans="1:4" ht="16.2" thickBot="1" x14ac:dyDescent="0.35"/>
    <row r="10" spans="1:4" ht="16.2" thickBot="1" x14ac:dyDescent="0.35">
      <c r="A10" s="112">
        <v>1</v>
      </c>
      <c r="B10" s="113" t="s">
        <v>158</v>
      </c>
      <c r="C10" s="113" t="s">
        <v>159</v>
      </c>
    </row>
    <row r="11" spans="1:4" ht="16.2" thickBot="1" x14ac:dyDescent="0.35">
      <c r="A11" s="114" t="s">
        <v>160</v>
      </c>
      <c r="B11" s="115" t="str">
        <f>'Custo por trabalhador'!B74</f>
        <v>Salário Base - Cláusula 3ª, CCT 2024/2026</v>
      </c>
      <c r="C11" s="135">
        <f>'Custo por trabalhador'!B75</f>
        <v>1733.93</v>
      </c>
    </row>
    <row r="12" spans="1:4" ht="17.399999999999999" customHeight="1" thickBot="1" x14ac:dyDescent="0.35">
      <c r="A12" s="114" t="s">
        <v>161</v>
      </c>
      <c r="B12" s="115" t="str">
        <f>'Custo por trabalhador'!C74</f>
        <v xml:space="preserve">Gratificação de Função e Adicional -  Cláusula 12ª CCT 2024/2026, § 1º, Alínea a </v>
      </c>
      <c r="C12" s="135">
        <f>'Custo por trabalhador'!C75</f>
        <v>0</v>
      </c>
    </row>
    <row r="13" spans="1:4" ht="17.399999999999999" customHeight="1" thickBot="1" x14ac:dyDescent="0.35">
      <c r="A13" s="114" t="s">
        <v>162</v>
      </c>
      <c r="B13" s="115" t="str">
        <f>'Custo por trabalhador'!D74</f>
        <v xml:space="preserve">Gratificação de Função e Adicional -  Cláusula 12ª CCT 2024/2026, § 2º, Alínea a </v>
      </c>
      <c r="C13" s="135">
        <f>'Custo por trabalhador'!D75</f>
        <v>0</v>
      </c>
    </row>
    <row r="14" spans="1:4" ht="16.2" thickBot="1" x14ac:dyDescent="0.35">
      <c r="A14" s="114" t="s">
        <v>163</v>
      </c>
      <c r="B14" s="115" t="str">
        <f>'Custo por trabalhador'!E74</f>
        <v>Adicional de   Periculosidade   - Cláusula 14º CCT 2024/2026</v>
      </c>
      <c r="C14" s="135">
        <f>'Custo por trabalhador'!E75</f>
        <v>520.17899999999997</v>
      </c>
    </row>
    <row r="15" spans="1:4" ht="16.2" thickBot="1" x14ac:dyDescent="0.35">
      <c r="A15" s="114" t="s">
        <v>164</v>
      </c>
      <c r="B15" s="115" t="str">
        <f>'Custo por trabalhador'!F74</f>
        <v>Adicional Noturno - Cláusula 13ª CCT 2024/2026</v>
      </c>
      <c r="C15" s="135">
        <f>'Custo por trabalhador'!F75</f>
        <v>0</v>
      </c>
    </row>
    <row r="16" spans="1:4" ht="16.2" thickBot="1" x14ac:dyDescent="0.35">
      <c r="A16" s="114" t="s">
        <v>165</v>
      </c>
      <c r="B16" s="115" t="str">
        <f>'Custo por trabalhador'!G74</f>
        <v>Adicional - Clausula 31º, § 4º - CCT 2024/2026</v>
      </c>
      <c r="C16" s="135">
        <f>'Custo por trabalhador'!G75</f>
        <v>30.737849999999995</v>
      </c>
    </row>
    <row r="17" spans="1:4" ht="16.2" thickBot="1" x14ac:dyDescent="0.35">
      <c r="A17" s="114"/>
      <c r="B17" s="115"/>
      <c r="C17" s="135"/>
    </row>
    <row r="18" spans="1:4" ht="16.2" thickBot="1" x14ac:dyDescent="0.35">
      <c r="A18" s="425" t="s">
        <v>12</v>
      </c>
      <c r="B18" s="426"/>
      <c r="C18" s="139">
        <f>SUM(C11:C17)</f>
        <v>2284.8468499999999</v>
      </c>
    </row>
    <row r="20" spans="1:4" x14ac:dyDescent="0.3">
      <c r="A20" s="413" t="s">
        <v>168</v>
      </c>
      <c r="B20" s="413"/>
      <c r="C20" s="413"/>
    </row>
    <row r="21" spans="1:4" x14ac:dyDescent="0.3">
      <c r="A21" s="28"/>
    </row>
    <row r="22" spans="1:4" x14ac:dyDescent="0.3">
      <c r="A22" s="424" t="s">
        <v>169</v>
      </c>
      <c r="B22" s="424"/>
      <c r="C22" s="424"/>
    </row>
    <row r="23" spans="1:4" ht="16.2" thickBot="1" x14ac:dyDescent="0.35"/>
    <row r="24" spans="1:4" ht="16.2" thickBot="1" x14ac:dyDescent="0.35">
      <c r="A24" s="112" t="s">
        <v>170</v>
      </c>
      <c r="B24" s="113" t="s">
        <v>171</v>
      </c>
      <c r="C24" s="113" t="s">
        <v>159</v>
      </c>
    </row>
    <row r="25" spans="1:4" ht="16.2" thickBot="1" x14ac:dyDescent="0.35">
      <c r="A25" s="114" t="s">
        <v>160</v>
      </c>
      <c r="B25" s="115" t="s">
        <v>172</v>
      </c>
      <c r="C25" s="135">
        <f>'Custo por trabalhador'!B123</f>
        <v>190.40390416666665</v>
      </c>
    </row>
    <row r="26" spans="1:4" ht="16.2" thickBot="1" x14ac:dyDescent="0.35">
      <c r="A26" s="114" t="s">
        <v>161</v>
      </c>
      <c r="B26" s="115" t="s">
        <v>173</v>
      </c>
      <c r="C26" s="135">
        <f>'Custo por trabalhador'!C123+'Custo por trabalhador'!D123</f>
        <v>253.87187222222218</v>
      </c>
    </row>
    <row r="27" spans="1:4" ht="16.2" thickBot="1" x14ac:dyDescent="0.35">
      <c r="A27" s="425" t="s">
        <v>12</v>
      </c>
      <c r="B27" s="426"/>
      <c r="C27" s="137">
        <f>SUM(C25:C26)</f>
        <v>444.27577638888886</v>
      </c>
    </row>
    <row r="29" spans="1:4" ht="32.25" customHeight="1" x14ac:dyDescent="0.3">
      <c r="A29" s="427" t="s">
        <v>174</v>
      </c>
      <c r="B29" s="427"/>
      <c r="C29" s="427"/>
      <c r="D29" s="427"/>
    </row>
    <row r="30" spans="1:4" ht="16.2" thickBot="1" x14ac:dyDescent="0.35"/>
    <row r="31" spans="1:4" ht="16.2" thickBot="1" x14ac:dyDescent="0.35">
      <c r="A31" s="112" t="s">
        <v>175</v>
      </c>
      <c r="B31" s="113" t="s">
        <v>176</v>
      </c>
      <c r="C31" s="113" t="s">
        <v>177</v>
      </c>
      <c r="D31" s="113" t="s">
        <v>159</v>
      </c>
    </row>
    <row r="32" spans="1:4" ht="16.2" thickBot="1" x14ac:dyDescent="0.35">
      <c r="A32" s="114" t="s">
        <v>160</v>
      </c>
      <c r="B32" s="115" t="s">
        <v>178</v>
      </c>
      <c r="C32" s="117">
        <f>'Custo por trabalhador'!B137</f>
        <v>0.2</v>
      </c>
      <c r="D32" s="138">
        <f t="shared" ref="D32:D39" si="0">($C$18+$C$27)*C32</f>
        <v>545.82452527777775</v>
      </c>
    </row>
    <row r="33" spans="1:4" ht="16.2" thickBot="1" x14ac:dyDescent="0.35">
      <c r="A33" s="114" t="s">
        <v>161</v>
      </c>
      <c r="B33" s="115" t="s">
        <v>179</v>
      </c>
      <c r="C33" s="117">
        <f>'Custo por trabalhador'!B138</f>
        <v>2.5000000000000001E-2</v>
      </c>
      <c r="D33" s="138">
        <f t="shared" si="0"/>
        <v>68.228065659722219</v>
      </c>
    </row>
    <row r="34" spans="1:4" ht="16.2" thickBot="1" x14ac:dyDescent="0.35">
      <c r="A34" s="114" t="s">
        <v>162</v>
      </c>
      <c r="B34" s="115" t="s">
        <v>180</v>
      </c>
      <c r="C34" s="118">
        <f>'Custo por trabalhador'!B139</f>
        <v>0.06</v>
      </c>
      <c r="D34" s="138">
        <f t="shared" si="0"/>
        <v>163.74735758333333</v>
      </c>
    </row>
    <row r="35" spans="1:4" ht="16.2" thickBot="1" x14ac:dyDescent="0.35">
      <c r="A35" s="114" t="s">
        <v>163</v>
      </c>
      <c r="B35" s="115" t="s">
        <v>181</v>
      </c>
      <c r="C35" s="117">
        <f>'Custo por trabalhador'!B140</f>
        <v>1.4999999999999999E-2</v>
      </c>
      <c r="D35" s="138">
        <f t="shared" si="0"/>
        <v>40.936839395833331</v>
      </c>
    </row>
    <row r="36" spans="1:4" ht="16.2" thickBot="1" x14ac:dyDescent="0.35">
      <c r="A36" s="114" t="s">
        <v>164</v>
      </c>
      <c r="B36" s="115" t="s">
        <v>182</v>
      </c>
      <c r="C36" s="117">
        <f>'Custo por trabalhador'!B141</f>
        <v>0.01</v>
      </c>
      <c r="D36" s="138">
        <f t="shared" si="0"/>
        <v>27.291226263888888</v>
      </c>
    </row>
    <row r="37" spans="1:4" ht="16.2" thickBot="1" x14ac:dyDescent="0.35">
      <c r="A37" s="114" t="s">
        <v>165</v>
      </c>
      <c r="B37" s="115" t="s">
        <v>25</v>
      </c>
      <c r="C37" s="117">
        <f>'Custo por trabalhador'!B142</f>
        <v>6.0000000000000001E-3</v>
      </c>
      <c r="D37" s="138">
        <f t="shared" si="0"/>
        <v>16.374735758333333</v>
      </c>
    </row>
    <row r="38" spans="1:4" ht="16.2" thickBot="1" x14ac:dyDescent="0.35">
      <c r="A38" s="114" t="s">
        <v>166</v>
      </c>
      <c r="B38" s="115" t="s">
        <v>26</v>
      </c>
      <c r="C38" s="117">
        <f>'Custo por trabalhador'!B143</f>
        <v>2E-3</v>
      </c>
      <c r="D38" s="138">
        <f t="shared" si="0"/>
        <v>5.4582452527777781</v>
      </c>
    </row>
    <row r="39" spans="1:4" ht="16.2" thickBot="1" x14ac:dyDescent="0.35">
      <c r="A39" s="114" t="s">
        <v>183</v>
      </c>
      <c r="B39" s="115" t="s">
        <v>27</v>
      </c>
      <c r="C39" s="117">
        <f>'Custo por trabalhador'!B144</f>
        <v>0.08</v>
      </c>
      <c r="D39" s="138">
        <f t="shared" si="0"/>
        <v>218.3298101111111</v>
      </c>
    </row>
    <row r="40" spans="1:4" ht="16.2" thickBot="1" x14ac:dyDescent="0.35">
      <c r="A40" s="425" t="s">
        <v>184</v>
      </c>
      <c r="B40" s="426"/>
      <c r="C40" s="117">
        <f>'Custo por trabalhador'!B145</f>
        <v>0.39800000000000008</v>
      </c>
      <c r="D40" s="144">
        <f>SUM(D32:D39)</f>
        <v>1086.1908053027778</v>
      </c>
    </row>
    <row r="42" spans="1:4" x14ac:dyDescent="0.3">
      <c r="A42" s="424" t="s">
        <v>185</v>
      </c>
      <c r="B42" s="424"/>
      <c r="C42" s="424"/>
    </row>
    <row r="43" spans="1:4" ht="16.2" thickBot="1" x14ac:dyDescent="0.35"/>
    <row r="44" spans="1:4" ht="16.2" thickBot="1" x14ac:dyDescent="0.35">
      <c r="A44" s="112" t="s">
        <v>186</v>
      </c>
      <c r="B44" s="113" t="s">
        <v>187</v>
      </c>
      <c r="C44" s="113" t="s">
        <v>159</v>
      </c>
    </row>
    <row r="45" spans="1:4" ht="16.2" thickBot="1" x14ac:dyDescent="0.35">
      <c r="A45" s="114" t="s">
        <v>160</v>
      </c>
      <c r="B45" s="115" t="str">
        <f>'Custo por trabalhador'!B279</f>
        <v>Vale Transporte - Cláusula 16ª CCT 2024/2026</v>
      </c>
      <c r="C45" s="135">
        <f>'Custo por trabalhador'!B280</f>
        <v>90.482100000000003</v>
      </c>
    </row>
    <row r="46" spans="1:4" ht="16.2" thickBot="1" x14ac:dyDescent="0.35">
      <c r="A46" s="114" t="s">
        <v>161</v>
      </c>
      <c r="B46" s="115" t="str">
        <f>'Custo por trabalhador'!C279</f>
        <v>Vale Refeição - Cláusula 15ª CCT 2024/2026</v>
      </c>
      <c r="C46" s="135">
        <f>'Custo por trabalhador'!C280</f>
        <v>471.96069999999997</v>
      </c>
    </row>
    <row r="47" spans="1:4" ht="16.2" thickBot="1" x14ac:dyDescent="0.35">
      <c r="A47" s="114" t="s">
        <v>162</v>
      </c>
      <c r="B47" s="115" t="str">
        <f>'Custo por trabalhador'!D279</f>
        <v xml:space="preserve"> Card Saúde- Abraps Bombank - Clausula 58º CCT 2024/2026</v>
      </c>
      <c r="C47" s="135">
        <f>'Custo por trabalhador'!D280</f>
        <v>83.88</v>
      </c>
    </row>
    <row r="48" spans="1:4" ht="16.2" thickBot="1" x14ac:dyDescent="0.35">
      <c r="A48" s="114" t="s">
        <v>163</v>
      </c>
      <c r="B48" s="115" t="s">
        <v>167</v>
      </c>
      <c r="C48" s="135">
        <f>'Custo por trabalhador'!E280</f>
        <v>0</v>
      </c>
    </row>
    <row r="49" spans="1:4" ht="16.2" thickBot="1" x14ac:dyDescent="0.35">
      <c r="A49" s="425" t="s">
        <v>12</v>
      </c>
      <c r="B49" s="426"/>
      <c r="C49" s="139">
        <f>SUM(C45:C48)</f>
        <v>646.32280000000003</v>
      </c>
    </row>
    <row r="51" spans="1:4" x14ac:dyDescent="0.3">
      <c r="A51" s="424" t="s">
        <v>188</v>
      </c>
      <c r="B51" s="424"/>
      <c r="C51" s="424"/>
    </row>
    <row r="52" spans="1:4" ht="16.2" thickBot="1" x14ac:dyDescent="0.35"/>
    <row r="53" spans="1:4" ht="16.2" thickBot="1" x14ac:dyDescent="0.35">
      <c r="A53" s="112">
        <v>2</v>
      </c>
      <c r="B53" s="113" t="s">
        <v>189</v>
      </c>
      <c r="C53" s="113" t="s">
        <v>159</v>
      </c>
    </row>
    <row r="54" spans="1:4" ht="16.2" thickBot="1" x14ac:dyDescent="0.35">
      <c r="A54" s="114" t="s">
        <v>170</v>
      </c>
      <c r="B54" s="115" t="s">
        <v>171</v>
      </c>
      <c r="C54" s="135">
        <f>'Custo por trabalhador'!B293</f>
        <v>444.27577638888886</v>
      </c>
    </row>
    <row r="55" spans="1:4" ht="16.2" thickBot="1" x14ac:dyDescent="0.35">
      <c r="A55" s="114" t="s">
        <v>175</v>
      </c>
      <c r="B55" s="115" t="s">
        <v>176</v>
      </c>
      <c r="C55" s="135">
        <f>'Custo por trabalhador'!C293</f>
        <v>1086.1908053027778</v>
      </c>
    </row>
    <row r="56" spans="1:4" ht="16.2" thickBot="1" x14ac:dyDescent="0.35">
      <c r="A56" s="114" t="s">
        <v>186</v>
      </c>
      <c r="B56" s="115" t="s">
        <v>187</v>
      </c>
      <c r="C56" s="135">
        <f>'Custo por trabalhador'!D293</f>
        <v>646.32280000000003</v>
      </c>
    </row>
    <row r="57" spans="1:4" ht="16.2" thickBot="1" x14ac:dyDescent="0.35">
      <c r="A57" s="425" t="s">
        <v>12</v>
      </c>
      <c r="B57" s="426"/>
      <c r="C57" s="139">
        <f>SUM(C54:C56)</f>
        <v>2176.7893816916667</v>
      </c>
    </row>
    <row r="58" spans="1:4" x14ac:dyDescent="0.3">
      <c r="A58" s="22"/>
    </row>
    <row r="59" spans="1:4" x14ac:dyDescent="0.3">
      <c r="A59" s="413" t="s">
        <v>190</v>
      </c>
      <c r="B59" s="413"/>
      <c r="C59" s="413"/>
    </row>
    <row r="60" spans="1:4" ht="16.2" thickBot="1" x14ac:dyDescent="0.35"/>
    <row r="61" spans="1:4" ht="16.2" thickBot="1" x14ac:dyDescent="0.35">
      <c r="A61" s="133">
        <v>3</v>
      </c>
      <c r="B61" s="195" t="s">
        <v>191</v>
      </c>
      <c r="C61" s="195" t="s">
        <v>159</v>
      </c>
      <c r="D61" s="195" t="s">
        <v>159</v>
      </c>
    </row>
    <row r="62" spans="1:4" x14ac:dyDescent="0.3">
      <c r="A62" s="40" t="s">
        <v>160</v>
      </c>
      <c r="B62" s="199" t="s">
        <v>192</v>
      </c>
      <c r="C62" s="200"/>
      <c r="D62" s="201">
        <f>'Custo por trabalhador'!B339</f>
        <v>2729.1226263888889</v>
      </c>
    </row>
    <row r="63" spans="1:4" x14ac:dyDescent="0.3">
      <c r="A63" s="23" t="s">
        <v>161</v>
      </c>
      <c r="B63" s="197" t="s">
        <v>193</v>
      </c>
      <c r="C63" s="198">
        <v>0.08</v>
      </c>
      <c r="D63" s="202">
        <f>'Custo por trabalhador'!C339</f>
        <v>218.3298101111111</v>
      </c>
    </row>
    <row r="64" spans="1:4" ht="16.2" thickBot="1" x14ac:dyDescent="0.35">
      <c r="A64" s="24" t="s">
        <v>162</v>
      </c>
      <c r="B64" s="203" t="s">
        <v>194</v>
      </c>
      <c r="C64" s="221">
        <v>0.4</v>
      </c>
      <c r="D64" s="204">
        <f>'Custo por trabalhador'!D339</f>
        <v>87.331924044444449</v>
      </c>
    </row>
    <row r="65" spans="1:4" ht="16.2" thickBot="1" x14ac:dyDescent="0.35">
      <c r="A65" s="208"/>
      <c r="B65" s="209" t="s">
        <v>253</v>
      </c>
      <c r="C65" s="225">
        <f>'Custo por trabalhador'!B307</f>
        <v>4.1999999999999997E-3</v>
      </c>
      <c r="D65" s="211">
        <f>'Custo por trabalhador'!F339</f>
        <v>12.746094314286664</v>
      </c>
    </row>
    <row r="66" spans="1:4" x14ac:dyDescent="0.3">
      <c r="A66" s="222" t="s">
        <v>163</v>
      </c>
      <c r="B66" s="223" t="s">
        <v>195</v>
      </c>
      <c r="C66" s="224"/>
      <c r="D66" s="201">
        <f>'Custo por trabalhador'!B374</f>
        <v>3375.4454263888888</v>
      </c>
    </row>
    <row r="67" spans="1:4" x14ac:dyDescent="0.3">
      <c r="A67" s="196" t="s">
        <v>164</v>
      </c>
      <c r="B67" s="197" t="s">
        <v>196</v>
      </c>
      <c r="C67" s="205">
        <f>C40</f>
        <v>0.39800000000000008</v>
      </c>
      <c r="D67" s="202">
        <f>'Custo por trabalhador'!C374</f>
        <v>1086.1908053027778</v>
      </c>
    </row>
    <row r="68" spans="1:4" ht="16.2" thickBot="1" x14ac:dyDescent="0.35">
      <c r="A68" s="206" t="s">
        <v>165</v>
      </c>
      <c r="B68" s="203" t="s">
        <v>197</v>
      </c>
      <c r="C68" s="207">
        <v>0.4</v>
      </c>
      <c r="D68" s="204">
        <f>'Custo por trabalhador'!D374</f>
        <v>87.331924044444449</v>
      </c>
    </row>
    <row r="69" spans="1:4" ht="16.2" thickBot="1" x14ac:dyDescent="0.35">
      <c r="A69" s="155"/>
      <c r="B69" s="209" t="s">
        <v>254</v>
      </c>
      <c r="C69" s="210">
        <f>'Custo por trabalhador'!E374</f>
        <v>1.9400000000000001E-2</v>
      </c>
      <c r="D69" s="211">
        <f>'Custo por trabalhador'!F374</f>
        <v>88.249982221280561</v>
      </c>
    </row>
    <row r="70" spans="1:4" ht="16.2" thickBot="1" x14ac:dyDescent="0.35">
      <c r="A70" s="431" t="s">
        <v>12</v>
      </c>
      <c r="B70" s="432"/>
      <c r="C70" s="139"/>
      <c r="D70" s="139">
        <f>'Custo por trabalhador'!E411</f>
        <v>100.99607653556723</v>
      </c>
    </row>
    <row r="72" spans="1:4" x14ac:dyDescent="0.3">
      <c r="A72" s="413" t="s">
        <v>198</v>
      </c>
      <c r="B72" s="413"/>
      <c r="C72" s="413"/>
    </row>
    <row r="74" spans="1:4" x14ac:dyDescent="0.3">
      <c r="A74" s="424" t="s">
        <v>199</v>
      </c>
      <c r="B74" s="424"/>
      <c r="C74" s="424"/>
    </row>
    <row r="75" spans="1:4" ht="16.2" thickBot="1" x14ac:dyDescent="0.35">
      <c r="A75" s="28"/>
    </row>
    <row r="76" spans="1:4" ht="16.2" thickBot="1" x14ac:dyDescent="0.35">
      <c r="A76" s="112" t="s">
        <v>200</v>
      </c>
      <c r="B76" s="113" t="s">
        <v>201</v>
      </c>
      <c r="C76" s="113" t="s">
        <v>159</v>
      </c>
    </row>
    <row r="77" spans="1:4" ht="16.2" thickBot="1" x14ac:dyDescent="0.35">
      <c r="A77" s="114" t="s">
        <v>160</v>
      </c>
      <c r="B77" s="115" t="s">
        <v>201</v>
      </c>
      <c r="C77" s="135">
        <f>'Custo por trabalhador'!B496</f>
        <v>255.29765491433304</v>
      </c>
    </row>
    <row r="78" spans="1:4" ht="16.2" thickBot="1" x14ac:dyDescent="0.35">
      <c r="A78" s="425" t="s">
        <v>184</v>
      </c>
      <c r="B78" s="426"/>
      <c r="C78" s="139">
        <f>SUM(C77:C77)</f>
        <v>255.29765491433304</v>
      </c>
    </row>
    <row r="80" spans="1:4" x14ac:dyDescent="0.3">
      <c r="A80" s="424" t="s">
        <v>202</v>
      </c>
      <c r="B80" s="424"/>
      <c r="C80" s="424"/>
    </row>
    <row r="81" spans="1:3" ht="16.2" thickBot="1" x14ac:dyDescent="0.35">
      <c r="A81" s="28"/>
    </row>
    <row r="82" spans="1:3" ht="16.2" thickBot="1" x14ac:dyDescent="0.35">
      <c r="A82" s="112" t="s">
        <v>203</v>
      </c>
      <c r="B82" s="113" t="s">
        <v>204</v>
      </c>
      <c r="C82" s="113" t="s">
        <v>159</v>
      </c>
    </row>
    <row r="83" spans="1:3" ht="16.2" thickBot="1" x14ac:dyDescent="0.35">
      <c r="A83" s="114" t="s">
        <v>160</v>
      </c>
      <c r="B83" s="115" t="s">
        <v>227</v>
      </c>
      <c r="C83" s="135">
        <f>'Custo por trabalhador'!C496</f>
        <v>311.08856647003864</v>
      </c>
    </row>
    <row r="84" spans="1:3" ht="16.2" thickBot="1" x14ac:dyDescent="0.35">
      <c r="A84" s="425" t="s">
        <v>12</v>
      </c>
      <c r="B84" s="426"/>
      <c r="C84" s="137">
        <f>SUM(C83)</f>
        <v>311.08856647003864</v>
      </c>
    </row>
    <row r="86" spans="1:3" x14ac:dyDescent="0.3">
      <c r="A86" s="424" t="s">
        <v>205</v>
      </c>
      <c r="B86" s="424"/>
      <c r="C86" s="424"/>
    </row>
    <row r="87" spans="1:3" ht="16.2" thickBot="1" x14ac:dyDescent="0.35">
      <c r="A87" s="28"/>
    </row>
    <row r="88" spans="1:3" ht="16.2" thickBot="1" x14ac:dyDescent="0.35">
      <c r="A88" s="112">
        <v>4</v>
      </c>
      <c r="B88" s="113" t="s">
        <v>206</v>
      </c>
      <c r="C88" s="113" t="s">
        <v>159</v>
      </c>
    </row>
    <row r="89" spans="1:3" ht="16.2" thickBot="1" x14ac:dyDescent="0.35">
      <c r="A89" s="114" t="s">
        <v>200</v>
      </c>
      <c r="B89" s="115" t="s">
        <v>201</v>
      </c>
      <c r="C89" s="136">
        <f>C78</f>
        <v>255.29765491433304</v>
      </c>
    </row>
    <row r="90" spans="1:3" ht="16.2" thickBot="1" x14ac:dyDescent="0.35">
      <c r="A90" s="114" t="s">
        <v>203</v>
      </c>
      <c r="B90" s="115" t="s">
        <v>204</v>
      </c>
      <c r="C90" s="136">
        <f>C84</f>
        <v>311.08856647003864</v>
      </c>
    </row>
    <row r="91" spans="1:3" ht="16.2" thickBot="1" x14ac:dyDescent="0.35">
      <c r="A91" s="425" t="s">
        <v>12</v>
      </c>
      <c r="B91" s="426"/>
      <c r="C91" s="137">
        <f>SUM(C89:C90)</f>
        <v>566.38622138437165</v>
      </c>
    </row>
    <row r="93" spans="1:3" x14ac:dyDescent="0.3">
      <c r="A93" s="413" t="s">
        <v>207</v>
      </c>
      <c r="B93" s="413"/>
      <c r="C93" s="413"/>
    </row>
    <row r="94" spans="1:3" ht="16.2" thickBot="1" x14ac:dyDescent="0.35"/>
    <row r="95" spans="1:3" ht="16.2" thickBot="1" x14ac:dyDescent="0.35">
      <c r="A95" s="112">
        <v>5</v>
      </c>
      <c r="B95" s="119" t="s">
        <v>120</v>
      </c>
      <c r="C95" s="113" t="s">
        <v>159</v>
      </c>
    </row>
    <row r="96" spans="1:3" ht="16.2" thickBot="1" x14ac:dyDescent="0.35">
      <c r="A96" s="114" t="s">
        <v>160</v>
      </c>
      <c r="B96" s="115" t="s">
        <v>208</v>
      </c>
      <c r="C96" s="135">
        <f>'Custo por trabalhador'!B589</f>
        <v>256.16666666666669</v>
      </c>
    </row>
    <row r="97" spans="1:4" ht="16.2" thickBot="1" x14ac:dyDescent="0.35">
      <c r="A97" s="114" t="s">
        <v>161</v>
      </c>
      <c r="B97" s="115" t="s">
        <v>209</v>
      </c>
      <c r="C97" s="135">
        <f>'Custo por trabalhador'!C589</f>
        <v>48.236249999999991</v>
      </c>
    </row>
    <row r="98" spans="1:4" ht="16.2" thickBot="1" x14ac:dyDescent="0.35">
      <c r="A98" s="114" t="s">
        <v>162</v>
      </c>
      <c r="B98" s="115" t="s">
        <v>210</v>
      </c>
      <c r="C98" s="135">
        <f>'Custo por trabalhador'!D589</f>
        <v>74.857874999999993</v>
      </c>
    </row>
    <row r="99" spans="1:4" ht="16.2" thickBot="1" x14ac:dyDescent="0.35">
      <c r="A99" s="114" t="s">
        <v>163</v>
      </c>
      <c r="B99" s="115" t="s">
        <v>257</v>
      </c>
      <c r="C99" s="135"/>
    </row>
    <row r="100" spans="1:4" ht="16.2" thickBot="1" x14ac:dyDescent="0.35">
      <c r="A100" s="425" t="s">
        <v>184</v>
      </c>
      <c r="B100" s="426"/>
      <c r="C100" s="137">
        <f>SUM(C96:C99)</f>
        <v>379.26079166666665</v>
      </c>
    </row>
    <row r="102" spans="1:4" x14ac:dyDescent="0.3">
      <c r="A102" s="413" t="s">
        <v>211</v>
      </c>
      <c r="B102" s="413"/>
      <c r="C102" s="413"/>
    </row>
    <row r="103" spans="1:4" ht="16.2" thickBot="1" x14ac:dyDescent="0.35"/>
    <row r="104" spans="1:4" ht="16.2" thickBot="1" x14ac:dyDescent="0.35">
      <c r="A104" s="112">
        <v>6</v>
      </c>
      <c r="B104" s="119" t="s">
        <v>121</v>
      </c>
      <c r="C104" s="113" t="s">
        <v>177</v>
      </c>
      <c r="D104" s="113" t="s">
        <v>159</v>
      </c>
    </row>
    <row r="105" spans="1:4" ht="16.2" thickBot="1" x14ac:dyDescent="0.35">
      <c r="A105" s="114" t="s">
        <v>160</v>
      </c>
      <c r="B105" s="115" t="s">
        <v>138</v>
      </c>
      <c r="C105" s="117">
        <f>'Custo por trabalhador'!B601</f>
        <v>0.03</v>
      </c>
      <c r="D105" s="116"/>
    </row>
    <row r="106" spans="1:4" ht="16.2" thickBot="1" x14ac:dyDescent="0.35">
      <c r="A106" s="114" t="s">
        <v>161</v>
      </c>
      <c r="B106" s="115" t="s">
        <v>140</v>
      </c>
      <c r="C106" s="117">
        <f>'Custo por trabalhador'!B603</f>
        <v>3.2599999999999997E-2</v>
      </c>
      <c r="D106" s="116"/>
    </row>
    <row r="107" spans="1:4" ht="16.2" thickBot="1" x14ac:dyDescent="0.35">
      <c r="A107" s="114" t="s">
        <v>162</v>
      </c>
      <c r="B107" s="115" t="s">
        <v>139</v>
      </c>
      <c r="C107" s="117">
        <f>'Custo por trabalhador'!B602</f>
        <v>8.6499999999999994E-2</v>
      </c>
      <c r="D107" s="116"/>
    </row>
    <row r="108" spans="1:4" ht="16.2" thickBot="1" x14ac:dyDescent="0.35">
      <c r="A108" s="114"/>
      <c r="B108" s="115" t="s">
        <v>212</v>
      </c>
      <c r="C108" s="117"/>
      <c r="D108" s="116"/>
    </row>
    <row r="109" spans="1:4" ht="16.2" thickBot="1" x14ac:dyDescent="0.35">
      <c r="A109" s="114"/>
      <c r="B109" s="115" t="s">
        <v>213</v>
      </c>
      <c r="C109" s="117"/>
      <c r="D109" s="116"/>
    </row>
    <row r="110" spans="1:4" ht="16.2" thickBot="1" x14ac:dyDescent="0.35">
      <c r="A110" s="114"/>
      <c r="B110" s="115" t="s">
        <v>214</v>
      </c>
      <c r="C110" s="117"/>
      <c r="D110" s="116"/>
    </row>
    <row r="111" spans="1:4" ht="16.2" thickBot="1" x14ac:dyDescent="0.35">
      <c r="A111" s="425" t="s">
        <v>184</v>
      </c>
      <c r="B111" s="426"/>
      <c r="C111" s="146">
        <f>'Custo por trabalhador'!C607</f>
        <v>0.16925871268021342</v>
      </c>
      <c r="D111" s="139">
        <f>'Custo por trabalhador'!D607</f>
        <v>880.80142119149764</v>
      </c>
    </row>
    <row r="112" spans="1:4" ht="16.2" thickBot="1" x14ac:dyDescent="0.35">
      <c r="A112" s="212"/>
      <c r="B112" s="212"/>
      <c r="C112" s="213"/>
      <c r="D112" s="214"/>
    </row>
    <row r="113" spans="1:5" ht="16.2" thickBot="1" x14ac:dyDescent="0.35">
      <c r="A113" s="373" t="s">
        <v>255</v>
      </c>
      <c r="B113" s="374"/>
      <c r="C113" s="375"/>
    </row>
    <row r="114" spans="1:5" ht="16.2" thickBot="1" x14ac:dyDescent="0.35">
      <c r="A114" s="215" t="s">
        <v>160</v>
      </c>
      <c r="B114" s="216" t="s">
        <v>256</v>
      </c>
      <c r="C114" s="217">
        <f>'Custo por trabalhador'!D621</f>
        <v>137.27509024047339</v>
      </c>
    </row>
    <row r="115" spans="1:5" x14ac:dyDescent="0.3">
      <c r="A115" s="90"/>
      <c r="B115" s="90"/>
      <c r="C115" s="90"/>
    </row>
    <row r="116" spans="1:5" x14ac:dyDescent="0.3">
      <c r="A116" s="413" t="s">
        <v>215</v>
      </c>
      <c r="B116" s="413"/>
      <c r="C116" s="413"/>
    </row>
    <row r="117" spans="1:5" ht="16.2" thickBot="1" x14ac:dyDescent="0.35"/>
    <row r="118" spans="1:5" ht="16.2" thickBot="1" x14ac:dyDescent="0.35">
      <c r="A118" s="112"/>
      <c r="B118" s="113" t="s">
        <v>216</v>
      </c>
      <c r="C118" s="113" t="s">
        <v>159</v>
      </c>
    </row>
    <row r="119" spans="1:5" ht="16.2" thickBot="1" x14ac:dyDescent="0.35">
      <c r="A119" s="121" t="s">
        <v>160</v>
      </c>
      <c r="B119" s="115" t="s">
        <v>157</v>
      </c>
      <c r="C119" s="140">
        <f>'Custo por trabalhador'!B629</f>
        <v>2284.8468499999999</v>
      </c>
    </row>
    <row r="120" spans="1:5" ht="16.2" thickBot="1" x14ac:dyDescent="0.35">
      <c r="A120" s="121" t="s">
        <v>161</v>
      </c>
      <c r="B120" s="115" t="s">
        <v>168</v>
      </c>
      <c r="C120" s="140">
        <f>'Custo por trabalhador'!B630</f>
        <v>2176.7893816916667</v>
      </c>
    </row>
    <row r="121" spans="1:5" ht="16.2" thickBot="1" x14ac:dyDescent="0.35">
      <c r="A121" s="121" t="s">
        <v>162</v>
      </c>
      <c r="B121" s="115" t="s">
        <v>190</v>
      </c>
      <c r="C121" s="140">
        <f>'Custo por trabalhador'!B631</f>
        <v>100.99607653556723</v>
      </c>
    </row>
    <row r="122" spans="1:5" ht="16.2" thickBot="1" x14ac:dyDescent="0.35">
      <c r="A122" s="121" t="s">
        <v>163</v>
      </c>
      <c r="B122" s="115" t="s">
        <v>198</v>
      </c>
      <c r="C122" s="140">
        <f>'Custo por trabalhador'!B632</f>
        <v>566.38622138437165</v>
      </c>
    </row>
    <row r="123" spans="1:5" ht="16.2" thickBot="1" x14ac:dyDescent="0.35">
      <c r="A123" s="121" t="s">
        <v>164</v>
      </c>
      <c r="B123" s="115" t="s">
        <v>207</v>
      </c>
      <c r="C123" s="140">
        <f>'Custo por trabalhador'!B633</f>
        <v>379.26079166666665</v>
      </c>
    </row>
    <row r="124" spans="1:5" ht="16.2" thickBot="1" x14ac:dyDescent="0.35">
      <c r="A124" s="425" t="s">
        <v>217</v>
      </c>
      <c r="B124" s="426"/>
      <c r="C124" s="141">
        <f>ROUND(SUM(C119:C123),(2))</f>
        <v>5508.28</v>
      </c>
    </row>
    <row r="125" spans="1:5" ht="16.2" thickBot="1" x14ac:dyDescent="0.35">
      <c r="A125" s="133" t="s">
        <v>165</v>
      </c>
      <c r="B125" s="134" t="s">
        <v>218</v>
      </c>
      <c r="C125" s="142">
        <f>'Custo por trabalhador'!B634</f>
        <v>880.80142119149764</v>
      </c>
    </row>
    <row r="126" spans="1:5" ht="16.2" thickBot="1" x14ac:dyDescent="0.35">
      <c r="A126" s="133" t="s">
        <v>166</v>
      </c>
      <c r="B126" s="134" t="s">
        <v>256</v>
      </c>
      <c r="C126" s="142">
        <f>'Custo por trabalhador'!B635</f>
        <v>137.27509024047339</v>
      </c>
    </row>
    <row r="127" spans="1:5" ht="16.2" thickBot="1" x14ac:dyDescent="0.35">
      <c r="A127" s="418" t="s">
        <v>219</v>
      </c>
      <c r="B127" s="419"/>
      <c r="C127" s="147">
        <f>ROUND(SUM(C119:C123,C125:C126),(2))</f>
        <v>6526.36</v>
      </c>
      <c r="E127" s="143"/>
    </row>
    <row r="128" spans="1:5" ht="16.2" thickBot="1" x14ac:dyDescent="0.35">
      <c r="A128" s="418" t="s">
        <v>240</v>
      </c>
      <c r="B128" s="419"/>
      <c r="C128" s="147">
        <f>ROUND((C127),(2))*2</f>
        <v>13052.72</v>
      </c>
    </row>
    <row r="131" spans="2:2" x14ac:dyDescent="0.3">
      <c r="B131" s="132"/>
    </row>
  </sheetData>
  <mergeCells count="34">
    <mergeCell ref="A111:B111"/>
    <mergeCell ref="A102:C102"/>
    <mergeCell ref="A49:B49"/>
    <mergeCell ref="A42:C42"/>
    <mergeCell ref="A57:B57"/>
    <mergeCell ref="A51:C51"/>
    <mergeCell ref="A70:B70"/>
    <mergeCell ref="A59:C59"/>
    <mergeCell ref="A86:C86"/>
    <mergeCell ref="A1:D1"/>
    <mergeCell ref="A2:D2"/>
    <mergeCell ref="A100:B100"/>
    <mergeCell ref="A93:C93"/>
    <mergeCell ref="A18:B18"/>
    <mergeCell ref="A8:C8"/>
    <mergeCell ref="A27:B27"/>
    <mergeCell ref="A20:C20"/>
    <mergeCell ref="A6:C6"/>
    <mergeCell ref="A128:B128"/>
    <mergeCell ref="A5:C5"/>
    <mergeCell ref="A3:D3"/>
    <mergeCell ref="A22:C22"/>
    <mergeCell ref="A40:B40"/>
    <mergeCell ref="A29:D29"/>
    <mergeCell ref="A124:B124"/>
    <mergeCell ref="A127:B127"/>
    <mergeCell ref="A116:C116"/>
    <mergeCell ref="A72:C72"/>
    <mergeCell ref="A78:B78"/>
    <mergeCell ref="A74:C74"/>
    <mergeCell ref="A84:B84"/>
    <mergeCell ref="A80:C80"/>
    <mergeCell ref="A91:B91"/>
    <mergeCell ref="A113:C1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32"/>
  <sheetViews>
    <sheetView zoomScale="115" zoomScaleNormal="115" workbookViewId="0">
      <selection activeCell="C129" sqref="C129"/>
    </sheetView>
  </sheetViews>
  <sheetFormatPr defaultRowHeight="14.4" x14ac:dyDescent="0.3"/>
  <cols>
    <col min="2" max="2" width="76.5546875" customWidth="1"/>
    <col min="3" max="3" width="18" customWidth="1"/>
    <col min="4" max="4" width="14.33203125" customWidth="1"/>
  </cols>
  <sheetData>
    <row r="1" spans="1:4" ht="22.8" x14ac:dyDescent="0.4">
      <c r="A1" s="394" t="s">
        <v>220</v>
      </c>
      <c r="B1" s="394"/>
      <c r="C1" s="394"/>
      <c r="D1" s="394"/>
    </row>
    <row r="2" spans="1:4" ht="22.8" x14ac:dyDescent="0.4">
      <c r="A2" s="394" t="s">
        <v>232</v>
      </c>
      <c r="B2" s="394"/>
      <c r="C2" s="394"/>
      <c r="D2" s="394"/>
    </row>
    <row r="3" spans="1:4" ht="15.6" x14ac:dyDescent="0.3">
      <c r="A3" s="423" t="s">
        <v>226</v>
      </c>
      <c r="B3" s="423"/>
      <c r="C3" s="423"/>
      <c r="D3" s="423"/>
    </row>
    <row r="4" spans="1:4" ht="16.2" thickBot="1" x14ac:dyDescent="0.35">
      <c r="A4" s="145"/>
      <c r="B4" s="145"/>
      <c r="C4" s="145"/>
      <c r="D4" s="145"/>
    </row>
    <row r="5" spans="1:4" ht="16.2" thickBot="1" x14ac:dyDescent="0.35">
      <c r="A5" s="435" t="s">
        <v>241</v>
      </c>
      <c r="B5" s="436"/>
      <c r="C5" s="437"/>
      <c r="D5" s="145"/>
    </row>
    <row r="6" spans="1:4" ht="15.6" customHeight="1" thickBot="1" x14ac:dyDescent="0.35">
      <c r="A6" s="438" t="s">
        <v>231</v>
      </c>
      <c r="B6" s="439"/>
      <c r="C6" s="440"/>
      <c r="D6" s="145"/>
    </row>
    <row r="7" spans="1:4" ht="15.6" x14ac:dyDescent="0.3">
      <c r="A7" s="120"/>
      <c r="B7" s="120"/>
      <c r="C7" s="120"/>
      <c r="D7" s="120"/>
    </row>
    <row r="8" spans="1:4" ht="15.6" x14ac:dyDescent="0.3">
      <c r="A8" s="413" t="s">
        <v>157</v>
      </c>
      <c r="B8" s="413"/>
      <c r="C8" s="413"/>
      <c r="D8" s="120"/>
    </row>
    <row r="9" spans="1:4" ht="16.2" thickBot="1" x14ac:dyDescent="0.35">
      <c r="A9" s="120"/>
      <c r="B9" s="120"/>
      <c r="C9" s="120"/>
      <c r="D9" s="120"/>
    </row>
    <row r="10" spans="1:4" ht="16.2" thickBot="1" x14ac:dyDescent="0.35">
      <c r="A10" s="112">
        <v>1</v>
      </c>
      <c r="B10" s="113" t="s">
        <v>158</v>
      </c>
      <c r="C10" s="113" t="s">
        <v>159</v>
      </c>
      <c r="D10" s="120"/>
    </row>
    <row r="11" spans="1:4" ht="16.2" thickBot="1" x14ac:dyDescent="0.35">
      <c r="A11" s="114" t="s">
        <v>160</v>
      </c>
      <c r="B11" s="115" t="str">
        <f>'Custo por trabalhador'!B74</f>
        <v>Salário Base - Cláusula 3ª, CCT 2024/2026</v>
      </c>
      <c r="C11" s="135">
        <f>'Custo por trabalhador'!B76</f>
        <v>1733.93</v>
      </c>
      <c r="D11" s="120"/>
    </row>
    <row r="12" spans="1:4" ht="17.399999999999999" customHeight="1" thickBot="1" x14ac:dyDescent="0.35">
      <c r="A12" s="114" t="s">
        <v>161</v>
      </c>
      <c r="B12" s="115" t="str">
        <f>'Custo por trabalhador'!C74</f>
        <v xml:space="preserve">Gratificação de Função e Adicional -  Cláusula 12ª CCT 2024/2026, § 1º, Alínea a </v>
      </c>
      <c r="C12" s="135">
        <f>'Custo por trabalhador'!C76</f>
        <v>0</v>
      </c>
      <c r="D12" s="120"/>
    </row>
    <row r="13" spans="1:4" ht="17.399999999999999" customHeight="1" thickBot="1" x14ac:dyDescent="0.35">
      <c r="A13" s="114" t="s">
        <v>162</v>
      </c>
      <c r="B13" s="115" t="str">
        <f>'Custo por trabalhador'!D74</f>
        <v xml:space="preserve">Gratificação de Função e Adicional -  Cláusula 12ª CCT 2024/2026, § 2º, Alínea a </v>
      </c>
      <c r="C13" s="135">
        <f>'Custo por trabalhador'!D76</f>
        <v>0</v>
      </c>
      <c r="D13" s="120"/>
    </row>
    <row r="14" spans="1:4" ht="16.2" thickBot="1" x14ac:dyDescent="0.35">
      <c r="A14" s="114" t="s">
        <v>163</v>
      </c>
      <c r="B14" s="115" t="str">
        <f>'Custo por trabalhador'!E74</f>
        <v>Adicional de   Periculosidade   - Cláusula 14º CCT 2024/2026</v>
      </c>
      <c r="C14" s="135">
        <f>'Custo por trabalhador'!E76</f>
        <v>520.17899999999997</v>
      </c>
      <c r="D14" s="120"/>
    </row>
    <row r="15" spans="1:4" ht="16.2" thickBot="1" x14ac:dyDescent="0.35">
      <c r="A15" s="114" t="s">
        <v>164</v>
      </c>
      <c r="B15" s="115" t="str">
        <f>'Custo por trabalhador'!F74</f>
        <v>Adicional Noturno - Cláusula 13ª CCT 2024/2026</v>
      </c>
      <c r="C15" s="135">
        <f>'Custo por trabalhador'!F76</f>
        <v>375.68483333333336</v>
      </c>
      <c r="D15" s="120"/>
    </row>
    <row r="16" spans="1:4" ht="16.2" thickBot="1" x14ac:dyDescent="0.35">
      <c r="A16" s="114" t="s">
        <v>165</v>
      </c>
      <c r="B16" s="115" t="str">
        <f>'Custo por trabalhador'!G74</f>
        <v>Adicional - Clausula 31º, § 4º - CCT 2024/2026</v>
      </c>
      <c r="C16" s="135">
        <f>'Custo por trabalhador'!G76</f>
        <v>35.860824999999998</v>
      </c>
      <c r="D16" s="120"/>
    </row>
    <row r="17" spans="1:4" ht="16.2" thickBot="1" x14ac:dyDescent="0.35">
      <c r="A17" s="114"/>
      <c r="B17" s="115"/>
      <c r="C17" s="135"/>
      <c r="D17" s="120"/>
    </row>
    <row r="18" spans="1:4" ht="16.2" thickBot="1" x14ac:dyDescent="0.35">
      <c r="A18" s="425" t="s">
        <v>12</v>
      </c>
      <c r="B18" s="426"/>
      <c r="C18" s="139">
        <f>SUM(C11:C17)</f>
        <v>2665.6546583333334</v>
      </c>
      <c r="D18" s="120"/>
    </row>
    <row r="19" spans="1:4" ht="15.6" x14ac:dyDescent="0.3">
      <c r="A19" s="120"/>
      <c r="B19" s="120"/>
      <c r="C19" s="120"/>
      <c r="D19" s="120"/>
    </row>
    <row r="20" spans="1:4" ht="15.6" x14ac:dyDescent="0.3">
      <c r="A20" s="413" t="s">
        <v>168</v>
      </c>
      <c r="B20" s="413"/>
      <c r="C20" s="413"/>
      <c r="D20" s="120"/>
    </row>
    <row r="21" spans="1:4" ht="15.6" x14ac:dyDescent="0.3">
      <c r="A21" s="28"/>
      <c r="B21" s="120"/>
      <c r="C21" s="120"/>
      <c r="D21" s="120"/>
    </row>
    <row r="22" spans="1:4" ht="15.6" x14ac:dyDescent="0.3">
      <c r="A22" s="424" t="s">
        <v>169</v>
      </c>
      <c r="B22" s="424"/>
      <c r="C22" s="424"/>
      <c r="D22" s="120"/>
    </row>
    <row r="23" spans="1:4" ht="16.2" thickBot="1" x14ac:dyDescent="0.35">
      <c r="A23" s="120"/>
      <c r="B23" s="120"/>
      <c r="C23" s="120"/>
      <c r="D23" s="120"/>
    </row>
    <row r="24" spans="1:4" ht="16.2" thickBot="1" x14ac:dyDescent="0.35">
      <c r="A24" s="112" t="s">
        <v>170</v>
      </c>
      <c r="B24" s="113" t="s">
        <v>171</v>
      </c>
      <c r="C24" s="113" t="s">
        <v>159</v>
      </c>
      <c r="D24" s="120"/>
    </row>
    <row r="25" spans="1:4" ht="16.2" thickBot="1" x14ac:dyDescent="0.35">
      <c r="A25" s="114" t="s">
        <v>160</v>
      </c>
      <c r="B25" s="115" t="s">
        <v>172</v>
      </c>
      <c r="C25" s="135">
        <f>'Custo por trabalhador'!B124</f>
        <v>222.13788819444443</v>
      </c>
      <c r="D25" s="120"/>
    </row>
    <row r="26" spans="1:4" ht="16.2" thickBot="1" x14ac:dyDescent="0.35">
      <c r="A26" s="114" t="s">
        <v>161</v>
      </c>
      <c r="B26" s="115" t="s">
        <v>173</v>
      </c>
      <c r="C26" s="135">
        <f>'Custo por trabalhador'!C124+'Custo por trabalhador'!D124</f>
        <v>296.18385092592587</v>
      </c>
      <c r="D26" s="120"/>
    </row>
    <row r="27" spans="1:4" ht="16.2" thickBot="1" x14ac:dyDescent="0.35">
      <c r="A27" s="425" t="s">
        <v>12</v>
      </c>
      <c r="B27" s="426"/>
      <c r="C27" s="139">
        <f>SUM(C25:C26)</f>
        <v>518.32173912037024</v>
      </c>
      <c r="D27" s="120"/>
    </row>
    <row r="28" spans="1:4" ht="15.6" x14ac:dyDescent="0.3">
      <c r="A28" s="120"/>
      <c r="B28" s="120"/>
      <c r="C28" s="120"/>
      <c r="D28" s="120"/>
    </row>
    <row r="29" spans="1:4" ht="15.6" x14ac:dyDescent="0.3">
      <c r="A29" s="427" t="s">
        <v>174</v>
      </c>
      <c r="B29" s="427"/>
      <c r="C29" s="427"/>
      <c r="D29" s="427"/>
    </row>
    <row r="30" spans="1:4" ht="16.2" thickBot="1" x14ac:dyDescent="0.35">
      <c r="A30" s="120"/>
      <c r="B30" s="120"/>
      <c r="C30" s="120"/>
      <c r="D30" s="120"/>
    </row>
    <row r="31" spans="1:4" ht="16.2" thickBot="1" x14ac:dyDescent="0.35">
      <c r="A31" s="112" t="s">
        <v>175</v>
      </c>
      <c r="B31" s="113" t="s">
        <v>176</v>
      </c>
      <c r="C31" s="113" t="s">
        <v>177</v>
      </c>
      <c r="D31" s="113" t="s">
        <v>159</v>
      </c>
    </row>
    <row r="32" spans="1:4" ht="16.2" thickBot="1" x14ac:dyDescent="0.35">
      <c r="A32" s="114" t="s">
        <v>160</v>
      </c>
      <c r="B32" s="115" t="s">
        <v>178</v>
      </c>
      <c r="C32" s="117">
        <f>'Custo por trabalhador'!B137</f>
        <v>0.2</v>
      </c>
      <c r="D32" s="135">
        <f>($C$18+$C$27)*C32</f>
        <v>636.79527949074077</v>
      </c>
    </row>
    <row r="33" spans="1:4" ht="16.2" thickBot="1" x14ac:dyDescent="0.35">
      <c r="A33" s="114" t="s">
        <v>161</v>
      </c>
      <c r="B33" s="115" t="s">
        <v>179</v>
      </c>
      <c r="C33" s="117">
        <f>'Custo por trabalhador'!B138</f>
        <v>2.5000000000000001E-2</v>
      </c>
      <c r="D33" s="135">
        <f t="shared" ref="D33:D39" si="0">($C$18+$C$27)*C33</f>
        <v>79.599409936342596</v>
      </c>
    </row>
    <row r="34" spans="1:4" ht="16.2" thickBot="1" x14ac:dyDescent="0.35">
      <c r="A34" s="114" t="s">
        <v>162</v>
      </c>
      <c r="B34" s="115" t="s">
        <v>180</v>
      </c>
      <c r="C34" s="118">
        <f>'Custo por trabalhador'!B139</f>
        <v>0.06</v>
      </c>
      <c r="D34" s="135">
        <f t="shared" si="0"/>
        <v>191.03858384722221</v>
      </c>
    </row>
    <row r="35" spans="1:4" ht="16.2" thickBot="1" x14ac:dyDescent="0.35">
      <c r="A35" s="114" t="s">
        <v>163</v>
      </c>
      <c r="B35" s="115" t="s">
        <v>181</v>
      </c>
      <c r="C35" s="117">
        <f>'Custo por trabalhador'!B140</f>
        <v>1.4999999999999999E-2</v>
      </c>
      <c r="D35" s="135">
        <f t="shared" si="0"/>
        <v>47.759645961805553</v>
      </c>
    </row>
    <row r="36" spans="1:4" ht="16.2" thickBot="1" x14ac:dyDescent="0.35">
      <c r="A36" s="114" t="s">
        <v>164</v>
      </c>
      <c r="B36" s="115" t="s">
        <v>182</v>
      </c>
      <c r="C36" s="117">
        <f>'Custo por trabalhador'!B141</f>
        <v>0.01</v>
      </c>
      <c r="D36" s="135">
        <f t="shared" si="0"/>
        <v>31.839763974537036</v>
      </c>
    </row>
    <row r="37" spans="1:4" ht="16.2" thickBot="1" x14ac:dyDescent="0.35">
      <c r="A37" s="114" t="s">
        <v>165</v>
      </c>
      <c r="B37" s="115" t="s">
        <v>25</v>
      </c>
      <c r="C37" s="117">
        <f>'Custo por trabalhador'!B142</f>
        <v>6.0000000000000001E-3</v>
      </c>
      <c r="D37" s="135">
        <f t="shared" si="0"/>
        <v>19.103858384722223</v>
      </c>
    </row>
    <row r="38" spans="1:4" ht="16.2" thickBot="1" x14ac:dyDescent="0.35">
      <c r="A38" s="114" t="s">
        <v>166</v>
      </c>
      <c r="B38" s="115" t="s">
        <v>26</v>
      </c>
      <c r="C38" s="117">
        <f>'Custo por trabalhador'!B143</f>
        <v>2E-3</v>
      </c>
      <c r="D38" s="135">
        <f t="shared" si="0"/>
        <v>6.3679527949074073</v>
      </c>
    </row>
    <row r="39" spans="1:4" ht="16.2" thickBot="1" x14ac:dyDescent="0.35">
      <c r="A39" s="114" t="s">
        <v>183</v>
      </c>
      <c r="B39" s="115" t="s">
        <v>27</v>
      </c>
      <c r="C39" s="117">
        <f>'Custo por trabalhador'!B144</f>
        <v>0.08</v>
      </c>
      <c r="D39" s="135">
        <f t="shared" si="0"/>
        <v>254.71811179629628</v>
      </c>
    </row>
    <row r="40" spans="1:4" ht="16.2" thickBot="1" x14ac:dyDescent="0.35">
      <c r="A40" s="425" t="s">
        <v>184</v>
      </c>
      <c r="B40" s="426"/>
      <c r="C40" s="117">
        <f>'Custo por trabalhador'!B145</f>
        <v>0.39800000000000008</v>
      </c>
      <c r="D40" s="139">
        <f>SUM(D32:D39)</f>
        <v>1267.222606186574</v>
      </c>
    </row>
    <row r="41" spans="1:4" ht="15.6" x14ac:dyDescent="0.3">
      <c r="A41" s="120"/>
      <c r="B41" s="120"/>
      <c r="C41" s="120"/>
      <c r="D41" s="120"/>
    </row>
    <row r="42" spans="1:4" ht="15.6" x14ac:dyDescent="0.3">
      <c r="A42" s="424" t="s">
        <v>185</v>
      </c>
      <c r="B42" s="424"/>
      <c r="C42" s="424"/>
      <c r="D42" s="120"/>
    </row>
    <row r="43" spans="1:4" ht="16.2" thickBot="1" x14ac:dyDescent="0.35">
      <c r="A43" s="120"/>
      <c r="B43" s="120"/>
      <c r="C43" s="120"/>
      <c r="D43" s="120"/>
    </row>
    <row r="44" spans="1:4" ht="16.2" thickBot="1" x14ac:dyDescent="0.35">
      <c r="A44" s="112" t="s">
        <v>186</v>
      </c>
      <c r="B44" s="113" t="s">
        <v>187</v>
      </c>
      <c r="C44" s="113" t="s">
        <v>159</v>
      </c>
      <c r="D44" s="120"/>
    </row>
    <row r="45" spans="1:4" ht="16.2" thickBot="1" x14ac:dyDescent="0.35">
      <c r="A45" s="114" t="s">
        <v>160</v>
      </c>
      <c r="B45" s="115" t="str">
        <f>'Custo por trabalhador'!B279</f>
        <v>Vale Transporte - Cláusula 16ª CCT 2024/2026</v>
      </c>
      <c r="C45" s="135">
        <f>'Custo por trabalhador'!B281</f>
        <v>90.482100000000003</v>
      </c>
      <c r="D45" s="120"/>
    </row>
    <row r="46" spans="1:4" ht="16.2" thickBot="1" x14ac:dyDescent="0.35">
      <c r="A46" s="114" t="s">
        <v>161</v>
      </c>
      <c r="B46" s="115" t="str">
        <f>'Custo por trabalhador'!C279</f>
        <v>Vale Refeição - Cláusula 15ª CCT 2024/2026</v>
      </c>
      <c r="C46" s="135">
        <f>'Custo por trabalhador'!C281</f>
        <v>471.96069999999997</v>
      </c>
      <c r="D46" s="120"/>
    </row>
    <row r="47" spans="1:4" ht="16.2" thickBot="1" x14ac:dyDescent="0.35">
      <c r="A47" s="114" t="s">
        <v>162</v>
      </c>
      <c r="B47" s="115" t="str">
        <f>'Custo por trabalhador'!D279</f>
        <v xml:space="preserve"> Card Saúde- Abraps Bombank - Clausula 58º CCT 2024/2026</v>
      </c>
      <c r="C47" s="135">
        <f>'Custo por trabalhador'!D281</f>
        <v>83.88</v>
      </c>
      <c r="D47" s="120"/>
    </row>
    <row r="48" spans="1:4" ht="16.2" thickBot="1" x14ac:dyDescent="0.35">
      <c r="A48" s="114" t="s">
        <v>163</v>
      </c>
      <c r="B48" s="115" t="s">
        <v>167</v>
      </c>
      <c r="C48" s="135">
        <f>'Custo por trabalhador'!E281</f>
        <v>0</v>
      </c>
      <c r="D48" s="120"/>
    </row>
    <row r="49" spans="1:4" ht="16.2" thickBot="1" x14ac:dyDescent="0.35">
      <c r="A49" s="425" t="s">
        <v>12</v>
      </c>
      <c r="B49" s="426"/>
      <c r="C49" s="139">
        <f>SUM(C45:C48)</f>
        <v>646.32280000000003</v>
      </c>
      <c r="D49" s="120"/>
    </row>
    <row r="50" spans="1:4" ht="15.6" x14ac:dyDescent="0.3">
      <c r="A50" s="120"/>
      <c r="B50" s="120"/>
      <c r="C50" s="120"/>
      <c r="D50" s="120"/>
    </row>
    <row r="51" spans="1:4" ht="15.6" x14ac:dyDescent="0.3">
      <c r="A51" s="424" t="s">
        <v>188</v>
      </c>
      <c r="B51" s="424"/>
      <c r="C51" s="424"/>
      <c r="D51" s="120"/>
    </row>
    <row r="52" spans="1:4" ht="16.2" thickBot="1" x14ac:dyDescent="0.35">
      <c r="A52" s="120"/>
      <c r="B52" s="120"/>
      <c r="C52" s="120"/>
      <c r="D52" s="120"/>
    </row>
    <row r="53" spans="1:4" ht="16.2" thickBot="1" x14ac:dyDescent="0.35">
      <c r="A53" s="112">
        <v>2</v>
      </c>
      <c r="B53" s="113" t="s">
        <v>189</v>
      </c>
      <c r="C53" s="113" t="s">
        <v>159</v>
      </c>
      <c r="D53" s="120"/>
    </row>
    <row r="54" spans="1:4" ht="16.2" thickBot="1" x14ac:dyDescent="0.35">
      <c r="A54" s="114" t="s">
        <v>170</v>
      </c>
      <c r="B54" s="115" t="s">
        <v>171</v>
      </c>
      <c r="C54" s="135">
        <f>'Custo por trabalhador'!B294</f>
        <v>518.32173912037035</v>
      </c>
      <c r="D54" s="120"/>
    </row>
    <row r="55" spans="1:4" ht="16.2" thickBot="1" x14ac:dyDescent="0.35">
      <c r="A55" s="114" t="s">
        <v>175</v>
      </c>
      <c r="B55" s="115" t="s">
        <v>176</v>
      </c>
      <c r="C55" s="135">
        <f>'Custo por trabalhador'!C294</f>
        <v>1267.2226061865742</v>
      </c>
      <c r="D55" s="120"/>
    </row>
    <row r="56" spans="1:4" ht="16.2" thickBot="1" x14ac:dyDescent="0.35">
      <c r="A56" s="114" t="s">
        <v>186</v>
      </c>
      <c r="B56" s="115" t="s">
        <v>187</v>
      </c>
      <c r="C56" s="135">
        <f>'Custo por trabalhador'!D294</f>
        <v>646.32280000000003</v>
      </c>
      <c r="D56" s="120"/>
    </row>
    <row r="57" spans="1:4" ht="16.2" thickBot="1" x14ac:dyDescent="0.35">
      <c r="A57" s="425" t="s">
        <v>12</v>
      </c>
      <c r="B57" s="426"/>
      <c r="C57" s="139">
        <f>SUM(C54:C56)</f>
        <v>2431.8671453069446</v>
      </c>
      <c r="D57" s="120"/>
    </row>
    <row r="58" spans="1:4" ht="15.6" x14ac:dyDescent="0.3">
      <c r="A58" s="120"/>
      <c r="B58" s="120"/>
      <c r="C58" s="120"/>
      <c r="D58" s="120"/>
    </row>
    <row r="59" spans="1:4" ht="15.6" x14ac:dyDescent="0.3">
      <c r="A59" s="413" t="s">
        <v>190</v>
      </c>
      <c r="B59" s="413"/>
      <c r="C59" s="413"/>
      <c r="D59" s="120"/>
    </row>
    <row r="60" spans="1:4" ht="16.2" thickBot="1" x14ac:dyDescent="0.35">
      <c r="A60" s="120"/>
      <c r="B60" s="120"/>
      <c r="C60" s="120"/>
      <c r="D60" s="120"/>
    </row>
    <row r="61" spans="1:4" s="120" customFormat="1" ht="16.2" thickBot="1" x14ac:dyDescent="0.35">
      <c r="A61" s="133">
        <v>3</v>
      </c>
      <c r="B61" s="195" t="s">
        <v>191</v>
      </c>
      <c r="C61" s="195" t="s">
        <v>159</v>
      </c>
      <c r="D61" s="195" t="s">
        <v>159</v>
      </c>
    </row>
    <row r="62" spans="1:4" s="120" customFormat="1" ht="15.6" x14ac:dyDescent="0.3">
      <c r="A62" s="40" t="s">
        <v>160</v>
      </c>
      <c r="B62" s="199" t="s">
        <v>192</v>
      </c>
      <c r="C62" s="200"/>
      <c r="D62" s="201">
        <f>'Custo por trabalhador'!B340</f>
        <v>3183.9763974537036</v>
      </c>
    </row>
    <row r="63" spans="1:4" s="120" customFormat="1" ht="15.6" x14ac:dyDescent="0.3">
      <c r="A63" s="23" t="s">
        <v>161</v>
      </c>
      <c r="B63" s="197" t="s">
        <v>193</v>
      </c>
      <c r="C63" s="198">
        <v>0.08</v>
      </c>
      <c r="D63" s="202">
        <f>'Custo por trabalhador'!C340</f>
        <v>254.71811179629628</v>
      </c>
    </row>
    <row r="64" spans="1:4" s="120" customFormat="1" ht="16.2" thickBot="1" x14ac:dyDescent="0.35">
      <c r="A64" s="24" t="s">
        <v>162</v>
      </c>
      <c r="B64" s="203" t="s">
        <v>194</v>
      </c>
      <c r="C64" s="221">
        <v>0.4</v>
      </c>
      <c r="D64" s="204">
        <f>'Custo por trabalhador'!D340</f>
        <v>101.88724471851852</v>
      </c>
    </row>
    <row r="65" spans="1:26" s="120" customFormat="1" ht="16.2" thickBot="1" x14ac:dyDescent="0.35">
      <c r="A65" s="208"/>
      <c r="B65" s="209" t="s">
        <v>253</v>
      </c>
      <c r="C65" s="225">
        <f>'Custo por trabalhador'!B307</f>
        <v>4.1999999999999997E-3</v>
      </c>
      <c r="D65" s="211">
        <f>'Custo por trabalhador'!F340</f>
        <v>14.870443366667777</v>
      </c>
    </row>
    <row r="66" spans="1:26" s="120" customFormat="1" ht="15.6" x14ac:dyDescent="0.3">
      <c r="A66" s="222" t="s">
        <v>163</v>
      </c>
      <c r="B66" s="223" t="s">
        <v>195</v>
      </c>
      <c r="C66" s="224"/>
      <c r="D66" s="201">
        <f>'Custo por trabalhador'!B375</f>
        <v>3830.2991974537035</v>
      </c>
    </row>
    <row r="67" spans="1:26" s="120" customFormat="1" ht="15.6" x14ac:dyDescent="0.3">
      <c r="A67" s="196" t="s">
        <v>164</v>
      </c>
      <c r="B67" s="197" t="s">
        <v>196</v>
      </c>
      <c r="C67" s="205">
        <f>C40</f>
        <v>0.39800000000000008</v>
      </c>
      <c r="D67" s="202">
        <f>'Custo por trabalhador'!C375</f>
        <v>1267.2226061865742</v>
      </c>
    </row>
    <row r="68" spans="1:26" s="120" customFormat="1" ht="16.2" thickBot="1" x14ac:dyDescent="0.35">
      <c r="A68" s="206" t="s">
        <v>165</v>
      </c>
      <c r="B68" s="203" t="s">
        <v>197</v>
      </c>
      <c r="C68" s="207">
        <v>0.4</v>
      </c>
      <c r="D68" s="204">
        <f>'Custo por trabalhador'!D375</f>
        <v>101.88724471851852</v>
      </c>
    </row>
    <row r="69" spans="1:26" s="120" customFormat="1" ht="16.2" thickBot="1" x14ac:dyDescent="0.35">
      <c r="A69" s="155"/>
      <c r="B69" s="209" t="s">
        <v>254</v>
      </c>
      <c r="C69" s="210">
        <f>'Custo por trabalhador'!E374</f>
        <v>1.9400000000000001E-2</v>
      </c>
      <c r="D69" s="211">
        <f>'Custo por trabalhador'!F375</f>
        <v>100.86853553816064</v>
      </c>
    </row>
    <row r="70" spans="1:26" ht="15.75" customHeight="1" thickBot="1" x14ac:dyDescent="0.35">
      <c r="A70" s="433" t="s">
        <v>12</v>
      </c>
      <c r="B70" s="434"/>
      <c r="C70" s="218"/>
      <c r="D70" s="139">
        <f>'Custo por trabalhador'!E412</f>
        <v>115.73897890482841</v>
      </c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</row>
    <row r="71" spans="1:26" ht="15.6" x14ac:dyDescent="0.3">
      <c r="A71" s="120"/>
      <c r="B71" s="120"/>
      <c r="C71" s="120"/>
      <c r="D71" s="120"/>
    </row>
    <row r="72" spans="1:26" ht="15.6" x14ac:dyDescent="0.3">
      <c r="A72" s="413" t="s">
        <v>198</v>
      </c>
      <c r="B72" s="413"/>
      <c r="C72" s="413"/>
      <c r="D72" s="120"/>
    </row>
    <row r="73" spans="1:26" ht="15.6" x14ac:dyDescent="0.3">
      <c r="A73" s="120"/>
      <c r="B73" s="120"/>
      <c r="C73" s="120"/>
      <c r="D73" s="120"/>
    </row>
    <row r="74" spans="1:26" ht="15.6" x14ac:dyDescent="0.3">
      <c r="A74" s="424" t="s">
        <v>199</v>
      </c>
      <c r="B74" s="424"/>
      <c r="C74" s="424"/>
      <c r="D74" s="120"/>
    </row>
    <row r="75" spans="1:26" ht="16.2" thickBot="1" x14ac:dyDescent="0.35">
      <c r="A75" s="28"/>
      <c r="B75" s="120"/>
      <c r="C75" s="120"/>
      <c r="D75" s="120"/>
    </row>
    <row r="76" spans="1:26" ht="16.2" thickBot="1" x14ac:dyDescent="0.35">
      <c r="A76" s="112" t="s">
        <v>200</v>
      </c>
      <c r="B76" s="113" t="s">
        <v>201</v>
      </c>
      <c r="C76" s="113" t="s">
        <v>159</v>
      </c>
      <c r="D76" s="120"/>
    </row>
    <row r="77" spans="1:26" ht="16.2" thickBot="1" x14ac:dyDescent="0.35">
      <c r="A77" s="114" t="s">
        <v>160</v>
      </c>
      <c r="B77" s="115" t="s">
        <v>201</v>
      </c>
      <c r="C77" s="135">
        <f>'Custo por trabalhador'!B497</f>
        <v>291.70293863932852</v>
      </c>
      <c r="D77" s="120"/>
    </row>
    <row r="78" spans="1:26" ht="16.2" thickBot="1" x14ac:dyDescent="0.35">
      <c r="A78" s="425" t="s">
        <v>184</v>
      </c>
      <c r="B78" s="426"/>
      <c r="C78" s="139">
        <f>SUM(C77:C77)</f>
        <v>291.70293863932852</v>
      </c>
      <c r="D78" s="120"/>
    </row>
    <row r="79" spans="1:26" ht="15.6" x14ac:dyDescent="0.3">
      <c r="A79" s="120"/>
      <c r="B79" s="120"/>
      <c r="C79" s="120"/>
      <c r="D79" s="120"/>
    </row>
    <row r="80" spans="1:26" ht="15.6" x14ac:dyDescent="0.3">
      <c r="A80" s="424" t="s">
        <v>202</v>
      </c>
      <c r="B80" s="424"/>
      <c r="C80" s="424"/>
      <c r="D80" s="120"/>
    </row>
    <row r="81" spans="1:4" ht="16.2" thickBot="1" x14ac:dyDescent="0.35">
      <c r="A81" s="28"/>
      <c r="B81" s="120"/>
      <c r="C81" s="120"/>
      <c r="D81" s="120"/>
    </row>
    <row r="82" spans="1:4" ht="16.2" thickBot="1" x14ac:dyDescent="0.35">
      <c r="A82" s="112" t="s">
        <v>203</v>
      </c>
      <c r="B82" s="113" t="s">
        <v>204</v>
      </c>
      <c r="C82" s="113" t="s">
        <v>159</v>
      </c>
      <c r="D82" s="120"/>
    </row>
    <row r="83" spans="1:4" ht="16.2" thickBot="1" x14ac:dyDescent="0.35">
      <c r="A83" s="114" t="s">
        <v>160</v>
      </c>
      <c r="B83" s="115" t="s">
        <v>227</v>
      </c>
      <c r="C83" s="135">
        <f>'Custo por trabalhador'!C497</f>
        <v>355.4495988098937</v>
      </c>
      <c r="D83" s="120"/>
    </row>
    <row r="84" spans="1:4" ht="16.2" thickBot="1" x14ac:dyDescent="0.35">
      <c r="A84" s="425" t="s">
        <v>12</v>
      </c>
      <c r="B84" s="426"/>
      <c r="C84" s="139">
        <f>SUM(C83)</f>
        <v>355.4495988098937</v>
      </c>
      <c r="D84" s="120"/>
    </row>
    <row r="85" spans="1:4" ht="15.6" x14ac:dyDescent="0.3">
      <c r="A85" s="120"/>
      <c r="B85" s="120"/>
      <c r="C85" s="120"/>
      <c r="D85" s="120"/>
    </row>
    <row r="86" spans="1:4" ht="15.6" x14ac:dyDescent="0.3">
      <c r="A86" s="424" t="s">
        <v>205</v>
      </c>
      <c r="B86" s="424"/>
      <c r="C86" s="424"/>
      <c r="D86" s="120"/>
    </row>
    <row r="87" spans="1:4" ht="16.2" thickBot="1" x14ac:dyDescent="0.35">
      <c r="A87" s="28"/>
      <c r="B87" s="120"/>
      <c r="C87" s="120"/>
      <c r="D87" s="120"/>
    </row>
    <row r="88" spans="1:4" ht="16.2" thickBot="1" x14ac:dyDescent="0.35">
      <c r="A88" s="112">
        <v>4</v>
      </c>
      <c r="B88" s="113" t="s">
        <v>206</v>
      </c>
      <c r="C88" s="113" t="s">
        <v>159</v>
      </c>
      <c r="D88" s="120"/>
    </row>
    <row r="89" spans="1:4" ht="16.2" thickBot="1" x14ac:dyDescent="0.35">
      <c r="A89" s="114" t="s">
        <v>200</v>
      </c>
      <c r="B89" s="115" t="s">
        <v>201</v>
      </c>
      <c r="C89" s="136">
        <f>C78</f>
        <v>291.70293863932852</v>
      </c>
      <c r="D89" s="120"/>
    </row>
    <row r="90" spans="1:4" ht="16.2" thickBot="1" x14ac:dyDescent="0.35">
      <c r="A90" s="114" t="s">
        <v>203</v>
      </c>
      <c r="B90" s="115" t="s">
        <v>204</v>
      </c>
      <c r="C90" s="136">
        <f>C84</f>
        <v>355.4495988098937</v>
      </c>
      <c r="D90" s="120"/>
    </row>
    <row r="91" spans="1:4" ht="16.2" thickBot="1" x14ac:dyDescent="0.35">
      <c r="A91" s="425" t="s">
        <v>12</v>
      </c>
      <c r="B91" s="426"/>
      <c r="C91" s="137">
        <f>SUM(C89:C90)</f>
        <v>647.15253744922222</v>
      </c>
      <c r="D91" s="120"/>
    </row>
    <row r="92" spans="1:4" ht="15.6" x14ac:dyDescent="0.3">
      <c r="A92" s="120"/>
      <c r="B92" s="120"/>
      <c r="C92" s="120"/>
      <c r="D92" s="120"/>
    </row>
    <row r="93" spans="1:4" ht="15.6" x14ac:dyDescent="0.3">
      <c r="A93" s="413" t="s">
        <v>207</v>
      </c>
      <c r="B93" s="413"/>
      <c r="C93" s="413"/>
      <c r="D93" s="120"/>
    </row>
    <row r="94" spans="1:4" ht="16.2" thickBot="1" x14ac:dyDescent="0.35">
      <c r="A94" s="120"/>
      <c r="B94" s="120"/>
      <c r="C94" s="120"/>
      <c r="D94" s="120"/>
    </row>
    <row r="95" spans="1:4" ht="16.2" thickBot="1" x14ac:dyDescent="0.35">
      <c r="A95" s="112">
        <v>5</v>
      </c>
      <c r="B95" s="119" t="s">
        <v>120</v>
      </c>
      <c r="C95" s="113" t="s">
        <v>159</v>
      </c>
      <c r="D95" s="120"/>
    </row>
    <row r="96" spans="1:4" ht="16.2" thickBot="1" x14ac:dyDescent="0.35">
      <c r="A96" s="114" t="s">
        <v>160</v>
      </c>
      <c r="B96" s="115" t="s">
        <v>208</v>
      </c>
      <c r="C96" s="135">
        <f>'Custo por trabalhador'!B590</f>
        <v>256.16666666666669</v>
      </c>
      <c r="D96" s="120"/>
    </row>
    <row r="97" spans="1:4" ht="16.2" thickBot="1" x14ac:dyDescent="0.35">
      <c r="A97" s="114" t="s">
        <v>161</v>
      </c>
      <c r="B97" s="115" t="s">
        <v>209</v>
      </c>
      <c r="C97" s="135">
        <f>'Custo por trabalhador'!C590</f>
        <v>48.236249999999991</v>
      </c>
      <c r="D97" s="120"/>
    </row>
    <row r="98" spans="1:4" ht="16.2" thickBot="1" x14ac:dyDescent="0.35">
      <c r="A98" s="114" t="s">
        <v>162</v>
      </c>
      <c r="B98" s="115" t="s">
        <v>210</v>
      </c>
      <c r="C98" s="135">
        <f>'Custo por trabalhador'!D590</f>
        <v>74.857874999999993</v>
      </c>
      <c r="D98" s="120"/>
    </row>
    <row r="99" spans="1:4" ht="16.2" thickBot="1" x14ac:dyDescent="0.35">
      <c r="A99" s="114" t="s">
        <v>163</v>
      </c>
      <c r="B99" s="115" t="s">
        <v>258</v>
      </c>
      <c r="C99" s="135"/>
      <c r="D99" s="120"/>
    </row>
    <row r="100" spans="1:4" ht="16.2" thickBot="1" x14ac:dyDescent="0.35">
      <c r="A100" s="425" t="s">
        <v>184</v>
      </c>
      <c r="B100" s="426"/>
      <c r="C100" s="137">
        <f>SUM(C96:C99)</f>
        <v>379.26079166666665</v>
      </c>
      <c r="D100" s="120"/>
    </row>
    <row r="101" spans="1:4" ht="15.6" x14ac:dyDescent="0.3">
      <c r="A101" s="120"/>
      <c r="B101" s="120"/>
      <c r="C101" s="120"/>
      <c r="D101" s="120"/>
    </row>
    <row r="102" spans="1:4" ht="15.6" x14ac:dyDescent="0.3">
      <c r="A102" s="413" t="s">
        <v>211</v>
      </c>
      <c r="B102" s="413"/>
      <c r="C102" s="413"/>
      <c r="D102" s="413"/>
    </row>
    <row r="103" spans="1:4" ht="16.2" thickBot="1" x14ac:dyDescent="0.35">
      <c r="A103" s="120"/>
      <c r="B103" s="120"/>
      <c r="C103" s="120"/>
      <c r="D103" s="120"/>
    </row>
    <row r="104" spans="1:4" ht="16.2" thickBot="1" x14ac:dyDescent="0.35">
      <c r="A104" s="112">
        <v>6</v>
      </c>
      <c r="B104" s="119" t="s">
        <v>121</v>
      </c>
      <c r="C104" s="113" t="s">
        <v>177</v>
      </c>
      <c r="D104" s="113" t="s">
        <v>159</v>
      </c>
    </row>
    <row r="105" spans="1:4" ht="16.2" thickBot="1" x14ac:dyDescent="0.35">
      <c r="A105" s="114" t="s">
        <v>160</v>
      </c>
      <c r="B105" s="115" t="s">
        <v>138</v>
      </c>
      <c r="C105" s="117">
        <f>'Custo por trabalhador'!B601</f>
        <v>0.03</v>
      </c>
      <c r="D105" s="116"/>
    </row>
    <row r="106" spans="1:4" ht="16.2" thickBot="1" x14ac:dyDescent="0.35">
      <c r="A106" s="114" t="s">
        <v>161</v>
      </c>
      <c r="B106" s="115" t="s">
        <v>140</v>
      </c>
      <c r="C106" s="117">
        <f>'Custo por trabalhador'!B603</f>
        <v>3.2599999999999997E-2</v>
      </c>
      <c r="D106" s="116"/>
    </row>
    <row r="107" spans="1:4" ht="16.2" thickBot="1" x14ac:dyDescent="0.35">
      <c r="A107" s="114" t="s">
        <v>162</v>
      </c>
      <c r="B107" s="115" t="s">
        <v>139</v>
      </c>
      <c r="C107" s="117">
        <f>'Custo por trabalhador'!B602</f>
        <v>8.6499999999999994E-2</v>
      </c>
      <c r="D107" s="116"/>
    </row>
    <row r="108" spans="1:4" ht="16.2" thickBot="1" x14ac:dyDescent="0.35">
      <c r="A108" s="114"/>
      <c r="B108" s="115" t="s">
        <v>212</v>
      </c>
      <c r="C108" s="116"/>
      <c r="D108" s="116"/>
    </row>
    <row r="109" spans="1:4" ht="16.2" thickBot="1" x14ac:dyDescent="0.35">
      <c r="A109" s="114"/>
      <c r="B109" s="115" t="s">
        <v>213</v>
      </c>
      <c r="C109" s="116"/>
      <c r="D109" s="116"/>
    </row>
    <row r="110" spans="1:4" ht="16.2" thickBot="1" x14ac:dyDescent="0.35">
      <c r="A110" s="114"/>
      <c r="B110" s="115" t="s">
        <v>214</v>
      </c>
      <c r="C110" s="116"/>
      <c r="D110" s="116"/>
    </row>
    <row r="111" spans="1:4" ht="16.2" thickBot="1" x14ac:dyDescent="0.35">
      <c r="A111" s="425" t="s">
        <v>184</v>
      </c>
      <c r="B111" s="426"/>
      <c r="C111" s="146">
        <f>'Custo por trabalhador'!C608</f>
        <v>0.16925871268021342</v>
      </c>
      <c r="D111" s="139">
        <f>'Custo por trabalhador'!D608</f>
        <v>1004.596361872692</v>
      </c>
    </row>
    <row r="112" spans="1:4" ht="16.2" thickBot="1" x14ac:dyDescent="0.35">
      <c r="A112" s="120"/>
      <c r="B112" s="120"/>
      <c r="C112" s="120"/>
      <c r="D112" s="120"/>
    </row>
    <row r="113" spans="1:5" s="120" customFormat="1" ht="16.2" thickBot="1" x14ac:dyDescent="0.35">
      <c r="A113" s="373" t="s">
        <v>255</v>
      </c>
      <c r="B113" s="374"/>
      <c r="C113" s="375"/>
    </row>
    <row r="114" spans="1:5" s="120" customFormat="1" ht="16.2" thickBot="1" x14ac:dyDescent="0.35">
      <c r="A114" s="215" t="s">
        <v>160</v>
      </c>
      <c r="B114" s="216" t="s">
        <v>256</v>
      </c>
      <c r="C114" s="217">
        <f>'Custo por trabalhador'!D622</f>
        <v>146.39816568716768</v>
      </c>
    </row>
    <row r="115" spans="1:5" s="120" customFormat="1" ht="15.6" x14ac:dyDescent="0.3">
      <c r="A115" s="90"/>
      <c r="B115" s="90"/>
      <c r="C115" s="90"/>
    </row>
    <row r="116" spans="1:5" s="120" customFormat="1" ht="15.6" x14ac:dyDescent="0.3">
      <c r="A116" s="413" t="s">
        <v>215</v>
      </c>
      <c r="B116" s="413"/>
      <c r="C116" s="413"/>
    </row>
    <row r="117" spans="1:5" s="120" customFormat="1" ht="16.2" thickBot="1" x14ac:dyDescent="0.35"/>
    <row r="118" spans="1:5" s="120" customFormat="1" ht="16.2" thickBot="1" x14ac:dyDescent="0.35">
      <c r="A118" s="112"/>
      <c r="B118" s="113" t="s">
        <v>216</v>
      </c>
      <c r="C118" s="113" t="s">
        <v>159</v>
      </c>
    </row>
    <row r="119" spans="1:5" s="120" customFormat="1" ht="16.2" thickBot="1" x14ac:dyDescent="0.35">
      <c r="A119" s="121" t="s">
        <v>160</v>
      </c>
      <c r="B119" s="115" t="s">
        <v>157</v>
      </c>
      <c r="C119" s="140">
        <f>'Custo por trabalhador'!C629</f>
        <v>2665.6546583333334</v>
      </c>
    </row>
    <row r="120" spans="1:5" s="120" customFormat="1" ht="16.2" thickBot="1" x14ac:dyDescent="0.35">
      <c r="A120" s="121" t="s">
        <v>161</v>
      </c>
      <c r="B120" s="115" t="s">
        <v>168</v>
      </c>
      <c r="C120" s="140">
        <f>'Custo por trabalhador'!C630</f>
        <v>2431.8671453069446</v>
      </c>
    </row>
    <row r="121" spans="1:5" s="120" customFormat="1" ht="16.2" thickBot="1" x14ac:dyDescent="0.35">
      <c r="A121" s="121" t="s">
        <v>162</v>
      </c>
      <c r="B121" s="115" t="s">
        <v>190</v>
      </c>
      <c r="C121" s="140">
        <f>'Custo por trabalhador'!C631</f>
        <v>115.73897890482841</v>
      </c>
    </row>
    <row r="122" spans="1:5" s="120" customFormat="1" ht="16.2" thickBot="1" x14ac:dyDescent="0.35">
      <c r="A122" s="121" t="s">
        <v>163</v>
      </c>
      <c r="B122" s="115" t="s">
        <v>198</v>
      </c>
      <c r="C122" s="140">
        <f>'Custo por trabalhador'!C632</f>
        <v>647.15253744922222</v>
      </c>
    </row>
    <row r="123" spans="1:5" s="120" customFormat="1" ht="16.2" thickBot="1" x14ac:dyDescent="0.35">
      <c r="A123" s="121" t="s">
        <v>164</v>
      </c>
      <c r="B123" s="115" t="s">
        <v>207</v>
      </c>
      <c r="C123" s="140">
        <f>'Custo por trabalhador'!C633</f>
        <v>379.26079166666665</v>
      </c>
    </row>
    <row r="124" spans="1:5" s="120" customFormat="1" ht="16.2" thickBot="1" x14ac:dyDescent="0.35">
      <c r="A124" s="425" t="s">
        <v>217</v>
      </c>
      <c r="B124" s="426"/>
      <c r="C124" s="141">
        <f>ROUND(SUM(C119:C123),(2))</f>
        <v>6239.67</v>
      </c>
    </row>
    <row r="125" spans="1:5" s="120" customFormat="1" ht="16.2" thickBot="1" x14ac:dyDescent="0.35">
      <c r="A125" s="133" t="s">
        <v>165</v>
      </c>
      <c r="B125" s="134" t="s">
        <v>218</v>
      </c>
      <c r="C125" s="142">
        <f>'Custo por trabalhador'!C634</f>
        <v>1004.596361872692</v>
      </c>
    </row>
    <row r="126" spans="1:5" s="120" customFormat="1" ht="16.2" thickBot="1" x14ac:dyDescent="0.35">
      <c r="A126" s="133" t="s">
        <v>166</v>
      </c>
      <c r="B126" s="134" t="s">
        <v>256</v>
      </c>
      <c r="C126" s="142">
        <f>'Custo por trabalhador'!C635</f>
        <v>146.39816568716768</v>
      </c>
    </row>
    <row r="127" spans="1:5" s="120" customFormat="1" ht="16.2" thickBot="1" x14ac:dyDescent="0.35">
      <c r="A127" s="418" t="s">
        <v>219</v>
      </c>
      <c r="B127" s="419"/>
      <c r="C127" s="147">
        <f>ROUND(SUM(C119:C123,C125:C126),(2))</f>
        <v>7390.67</v>
      </c>
      <c r="E127" s="143"/>
    </row>
    <row r="128" spans="1:5" s="120" customFormat="1" ht="16.2" thickBot="1" x14ac:dyDescent="0.35">
      <c r="A128" s="418" t="s">
        <v>240</v>
      </c>
      <c r="B128" s="419"/>
      <c r="C128" s="147">
        <f>ROUND((C127),(2))*2</f>
        <v>14781.34</v>
      </c>
    </row>
    <row r="129" spans="1:4" s="120" customFormat="1" ht="15.6" x14ac:dyDescent="0.3"/>
    <row r="130" spans="1:4" ht="15.6" x14ac:dyDescent="0.3">
      <c r="A130" s="120"/>
      <c r="B130" s="120"/>
      <c r="C130" s="120"/>
      <c r="D130" s="120"/>
    </row>
    <row r="132" spans="1:4" x14ac:dyDescent="0.3">
      <c r="D132" s="148"/>
    </row>
  </sheetData>
  <mergeCells count="34">
    <mergeCell ref="A1:D1"/>
    <mergeCell ref="A2:D2"/>
    <mergeCell ref="A3:D3"/>
    <mergeCell ref="A8:C8"/>
    <mergeCell ref="A18:B18"/>
    <mergeCell ref="A5:C5"/>
    <mergeCell ref="A6:C6"/>
    <mergeCell ref="A40:B40"/>
    <mergeCell ref="A72:C72"/>
    <mergeCell ref="A20:C20"/>
    <mergeCell ref="A29:D29"/>
    <mergeCell ref="A74:C74"/>
    <mergeCell ref="A42:C42"/>
    <mergeCell ref="A22:C22"/>
    <mergeCell ref="A27:B27"/>
    <mergeCell ref="A49:B49"/>
    <mergeCell ref="A51:C51"/>
    <mergeCell ref="A57:B57"/>
    <mergeCell ref="A59:C59"/>
    <mergeCell ref="A113:C113"/>
    <mergeCell ref="A116:C116"/>
    <mergeCell ref="A124:B124"/>
    <mergeCell ref="A127:B127"/>
    <mergeCell ref="A128:B128"/>
    <mergeCell ref="A111:B111"/>
    <mergeCell ref="A70:B70"/>
    <mergeCell ref="A102:D102"/>
    <mergeCell ref="A78:B78"/>
    <mergeCell ref="A80:C80"/>
    <mergeCell ref="A84:B84"/>
    <mergeCell ref="A86:C86"/>
    <mergeCell ref="A91:B91"/>
    <mergeCell ref="A93:C93"/>
    <mergeCell ref="A100:B10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28"/>
  <sheetViews>
    <sheetView zoomScale="115" zoomScaleNormal="115" workbookViewId="0">
      <selection activeCell="C129" sqref="C129"/>
    </sheetView>
  </sheetViews>
  <sheetFormatPr defaultRowHeight="14.4" x14ac:dyDescent="0.3"/>
  <cols>
    <col min="2" max="2" width="76.5546875" customWidth="1"/>
    <col min="3" max="3" width="18" customWidth="1"/>
    <col min="4" max="4" width="14.33203125" customWidth="1"/>
  </cols>
  <sheetData>
    <row r="1" spans="1:5" ht="22.8" x14ac:dyDescent="0.4">
      <c r="A1" s="394" t="s">
        <v>220</v>
      </c>
      <c r="B1" s="394"/>
      <c r="C1" s="394"/>
      <c r="D1" s="394"/>
    </row>
    <row r="2" spans="1:5" ht="22.8" x14ac:dyDescent="0.4">
      <c r="A2" s="394" t="s">
        <v>232</v>
      </c>
      <c r="B2" s="394"/>
      <c r="C2" s="394"/>
      <c r="D2" s="394"/>
    </row>
    <row r="3" spans="1:5" ht="15.6" x14ac:dyDescent="0.3">
      <c r="A3" s="423" t="s">
        <v>226</v>
      </c>
      <c r="B3" s="423"/>
      <c r="C3" s="423"/>
      <c r="D3" s="423"/>
    </row>
    <row r="4" spans="1:5" ht="16.2" thickBot="1" x14ac:dyDescent="0.35">
      <c r="A4" s="145"/>
      <c r="B4" s="145"/>
      <c r="C4" s="145"/>
      <c r="D4" s="145"/>
    </row>
    <row r="5" spans="1:5" ht="16.2" thickBot="1" x14ac:dyDescent="0.35">
      <c r="A5" s="435" t="s">
        <v>241</v>
      </c>
      <c r="B5" s="436"/>
      <c r="C5" s="437"/>
      <c r="D5" s="145"/>
    </row>
    <row r="6" spans="1:5" ht="15.6" customHeight="1" thickBot="1" x14ac:dyDescent="0.35">
      <c r="A6" s="438" t="s">
        <v>231</v>
      </c>
      <c r="B6" s="439"/>
      <c r="C6" s="440"/>
      <c r="D6" s="145"/>
    </row>
    <row r="7" spans="1:5" ht="15.6" x14ac:dyDescent="0.3">
      <c r="A7" s="120"/>
      <c r="B7" s="120"/>
      <c r="C7" s="120"/>
      <c r="D7" s="120"/>
    </row>
    <row r="8" spans="1:5" ht="15.6" x14ac:dyDescent="0.3">
      <c r="A8" s="413" t="s">
        <v>157</v>
      </c>
      <c r="B8" s="413"/>
      <c r="C8" s="413"/>
      <c r="D8" s="120"/>
    </row>
    <row r="9" spans="1:5" ht="16.2" thickBot="1" x14ac:dyDescent="0.35">
      <c r="A9" s="120"/>
      <c r="B9" s="120"/>
      <c r="C9" s="120"/>
      <c r="D9" s="120"/>
    </row>
    <row r="10" spans="1:5" ht="16.2" thickBot="1" x14ac:dyDescent="0.35">
      <c r="A10" s="112">
        <v>1</v>
      </c>
      <c r="B10" s="113" t="s">
        <v>158</v>
      </c>
      <c r="C10" s="113" t="s">
        <v>159</v>
      </c>
      <c r="D10" s="120"/>
    </row>
    <row r="11" spans="1:5" ht="17.399999999999999" customHeight="1" thickBot="1" x14ac:dyDescent="0.35">
      <c r="A11" s="114" t="s">
        <v>160</v>
      </c>
      <c r="B11" s="115" t="str">
        <f>'Custo por trabalhador'!B74</f>
        <v>Salário Base - Cláusula 3ª, CCT 2024/2026</v>
      </c>
      <c r="C11" s="135">
        <f>'Custo por trabalhador'!B77</f>
        <v>1733.93</v>
      </c>
      <c r="D11" s="120"/>
    </row>
    <row r="12" spans="1:5" ht="17.399999999999999" customHeight="1" thickBot="1" x14ac:dyDescent="0.35">
      <c r="A12" s="114" t="s">
        <v>161</v>
      </c>
      <c r="B12" s="115" t="str">
        <f>'Custo por trabalhador'!C74</f>
        <v xml:space="preserve">Gratificação de Função e Adicional -  Cláusula 12ª CCT 2024/2026, § 1º, Alínea a </v>
      </c>
      <c r="C12" s="135">
        <f>'Custo por trabalhador'!C77</f>
        <v>0</v>
      </c>
      <c r="D12" s="120"/>
      <c r="E12" s="149"/>
    </row>
    <row r="13" spans="1:5" ht="16.2" thickBot="1" x14ac:dyDescent="0.35">
      <c r="A13" s="114" t="s">
        <v>162</v>
      </c>
      <c r="B13" s="115" t="str">
        <f>'Custo por trabalhador'!D74</f>
        <v xml:space="preserve">Gratificação de Função e Adicional -  Cláusula 12ª CCT 2024/2026, § 2º, Alínea a </v>
      </c>
      <c r="C13" s="135">
        <f>'Custo por trabalhador'!D77</f>
        <v>208.07159999999999</v>
      </c>
      <c r="D13" s="120"/>
    </row>
    <row r="14" spans="1:5" ht="16.2" thickBot="1" x14ac:dyDescent="0.35">
      <c r="A14" s="114" t="s">
        <v>163</v>
      </c>
      <c r="B14" s="115" t="str">
        <f>'Custo por trabalhador'!E74</f>
        <v>Adicional de   Periculosidade   - Cláusula 14º CCT 2024/2026</v>
      </c>
      <c r="C14" s="135">
        <f>'Custo por trabalhador'!E77</f>
        <v>520.17899999999997</v>
      </c>
      <c r="D14" s="120"/>
    </row>
    <row r="15" spans="1:5" ht="16.2" thickBot="1" x14ac:dyDescent="0.35">
      <c r="A15" s="114" t="s">
        <v>164</v>
      </c>
      <c r="B15" s="115" t="str">
        <f>'Custo por trabalhador'!F74</f>
        <v>Adicional Noturno - Cláusula 13ª CCT 2024/2026</v>
      </c>
      <c r="C15" s="135">
        <f>'Custo por trabalhador'!F77</f>
        <v>0</v>
      </c>
      <c r="D15" s="120"/>
    </row>
    <row r="16" spans="1:5" ht="16.2" thickBot="1" x14ac:dyDescent="0.35">
      <c r="A16" s="114" t="s">
        <v>165</v>
      </c>
      <c r="B16" s="115" t="str">
        <f>'Custo por trabalhador'!G74</f>
        <v>Adicional - Clausula 31º, § 4º - CCT 2024/2026</v>
      </c>
      <c r="C16" s="135">
        <f>'Custo por trabalhador'!G77</f>
        <v>30.737849999999995</v>
      </c>
      <c r="D16" s="120"/>
    </row>
    <row r="17" spans="1:4" ht="16.2" thickBot="1" x14ac:dyDescent="0.35">
      <c r="A17" s="114"/>
      <c r="B17" s="115"/>
      <c r="C17" s="135"/>
      <c r="D17" s="120"/>
    </row>
    <row r="18" spans="1:4" ht="16.2" thickBot="1" x14ac:dyDescent="0.35">
      <c r="A18" s="425" t="s">
        <v>12</v>
      </c>
      <c r="B18" s="426"/>
      <c r="C18" s="139">
        <f>SUM(C11:C17)</f>
        <v>2492.9184500000001</v>
      </c>
      <c r="D18" s="120"/>
    </row>
    <row r="19" spans="1:4" ht="15.6" x14ac:dyDescent="0.3">
      <c r="A19" s="120"/>
      <c r="B19" s="120"/>
      <c r="C19" s="120"/>
      <c r="D19" s="120"/>
    </row>
    <row r="20" spans="1:4" ht="15.6" x14ac:dyDescent="0.3">
      <c r="A20" s="413" t="s">
        <v>168</v>
      </c>
      <c r="B20" s="413"/>
      <c r="C20" s="413"/>
      <c r="D20" s="120"/>
    </row>
    <row r="21" spans="1:4" ht="15.6" x14ac:dyDescent="0.3">
      <c r="A21" s="28"/>
      <c r="B21" s="120"/>
      <c r="C21" s="120"/>
      <c r="D21" s="120"/>
    </row>
    <row r="22" spans="1:4" ht="15.6" x14ac:dyDescent="0.3">
      <c r="A22" s="424" t="s">
        <v>169</v>
      </c>
      <c r="B22" s="424"/>
      <c r="C22" s="424"/>
      <c r="D22" s="120"/>
    </row>
    <row r="23" spans="1:4" ht="16.2" thickBot="1" x14ac:dyDescent="0.35">
      <c r="A23" s="120"/>
      <c r="B23" s="120"/>
      <c r="C23" s="120"/>
      <c r="D23" s="120"/>
    </row>
    <row r="24" spans="1:4" ht="16.2" thickBot="1" x14ac:dyDescent="0.35">
      <c r="A24" s="112" t="s">
        <v>170</v>
      </c>
      <c r="B24" s="113" t="s">
        <v>171</v>
      </c>
      <c r="C24" s="113" t="s">
        <v>159</v>
      </c>
      <c r="D24" s="120"/>
    </row>
    <row r="25" spans="1:4" ht="16.2" thickBot="1" x14ac:dyDescent="0.35">
      <c r="A25" s="114" t="s">
        <v>160</v>
      </c>
      <c r="B25" s="115" t="s">
        <v>172</v>
      </c>
      <c r="C25" s="135">
        <f>'Custo por trabalhador'!B125</f>
        <v>207.74320416666666</v>
      </c>
      <c r="D25" s="120"/>
    </row>
    <row r="26" spans="1:4" ht="16.2" thickBot="1" x14ac:dyDescent="0.35">
      <c r="A26" s="114" t="s">
        <v>161</v>
      </c>
      <c r="B26" s="115" t="s">
        <v>173</v>
      </c>
      <c r="C26" s="135">
        <f>'Custo por trabalhador'!C125+'Custo por trabalhador'!D125</f>
        <v>276.99093888888888</v>
      </c>
      <c r="D26" s="120"/>
    </row>
    <row r="27" spans="1:4" ht="16.2" thickBot="1" x14ac:dyDescent="0.35">
      <c r="A27" s="425" t="s">
        <v>12</v>
      </c>
      <c r="B27" s="426"/>
      <c r="C27" s="137">
        <f>SUM(C25:C26)</f>
        <v>484.73414305555553</v>
      </c>
      <c r="D27" s="120"/>
    </row>
    <row r="28" spans="1:4" ht="15.6" x14ac:dyDescent="0.3">
      <c r="A28" s="120"/>
      <c r="B28" s="120"/>
      <c r="C28" s="120"/>
      <c r="D28" s="120"/>
    </row>
    <row r="29" spans="1:4" ht="15.75" customHeight="1" x14ac:dyDescent="0.3">
      <c r="A29" s="427" t="s">
        <v>174</v>
      </c>
      <c r="B29" s="427"/>
      <c r="C29" s="427"/>
      <c r="D29" s="427"/>
    </row>
    <row r="30" spans="1:4" ht="16.2" thickBot="1" x14ac:dyDescent="0.35">
      <c r="A30" s="120"/>
      <c r="B30" s="120"/>
      <c r="C30" s="120"/>
      <c r="D30" s="120"/>
    </row>
    <row r="31" spans="1:4" ht="16.2" thickBot="1" x14ac:dyDescent="0.35">
      <c r="A31" s="112" t="s">
        <v>175</v>
      </c>
      <c r="B31" s="113" t="s">
        <v>176</v>
      </c>
      <c r="C31" s="248" t="s">
        <v>177</v>
      </c>
      <c r="D31" s="113" t="s">
        <v>159</v>
      </c>
    </row>
    <row r="32" spans="1:4" ht="16.2" thickBot="1" x14ac:dyDescent="0.35">
      <c r="A32" s="114" t="s">
        <v>160</v>
      </c>
      <c r="B32" s="115" t="s">
        <v>178</v>
      </c>
      <c r="C32" s="249">
        <f>'Custo por trabalhador'!B137</f>
        <v>0.2</v>
      </c>
      <c r="D32" s="135">
        <f t="shared" ref="D32:D39" si="0">($C$18+$C$27)*C32</f>
        <v>595.53051861111123</v>
      </c>
    </row>
    <row r="33" spans="1:4" ht="16.2" thickBot="1" x14ac:dyDescent="0.35">
      <c r="A33" s="114" t="s">
        <v>161</v>
      </c>
      <c r="B33" s="115" t="s">
        <v>179</v>
      </c>
      <c r="C33" s="249">
        <f>'Custo por trabalhador'!B138</f>
        <v>2.5000000000000001E-2</v>
      </c>
      <c r="D33" s="135">
        <f t="shared" si="0"/>
        <v>74.441314826388904</v>
      </c>
    </row>
    <row r="34" spans="1:4" ht="16.2" thickBot="1" x14ac:dyDescent="0.35">
      <c r="A34" s="114" t="s">
        <v>162</v>
      </c>
      <c r="B34" s="115" t="s">
        <v>180</v>
      </c>
      <c r="C34" s="118">
        <f>'Custo por trabalhador'!B139</f>
        <v>0.06</v>
      </c>
      <c r="D34" s="135">
        <f t="shared" si="0"/>
        <v>178.65915558333333</v>
      </c>
    </row>
    <row r="35" spans="1:4" ht="16.2" thickBot="1" x14ac:dyDescent="0.35">
      <c r="A35" s="114" t="s">
        <v>163</v>
      </c>
      <c r="B35" s="115" t="s">
        <v>181</v>
      </c>
      <c r="C35" s="249">
        <f>'Custo por trabalhador'!B140</f>
        <v>1.4999999999999999E-2</v>
      </c>
      <c r="D35" s="135">
        <f t="shared" si="0"/>
        <v>44.664788895833333</v>
      </c>
    </row>
    <row r="36" spans="1:4" ht="16.2" thickBot="1" x14ac:dyDescent="0.35">
      <c r="A36" s="114" t="s">
        <v>164</v>
      </c>
      <c r="B36" s="115" t="s">
        <v>182</v>
      </c>
      <c r="C36" s="249">
        <f>'Custo por trabalhador'!B141</f>
        <v>0.01</v>
      </c>
      <c r="D36" s="135">
        <f t="shared" si="0"/>
        <v>29.776525930555557</v>
      </c>
    </row>
    <row r="37" spans="1:4" ht="16.2" thickBot="1" x14ac:dyDescent="0.35">
      <c r="A37" s="114" t="s">
        <v>165</v>
      </c>
      <c r="B37" s="115" t="s">
        <v>25</v>
      </c>
      <c r="C37" s="249">
        <f>'Custo por trabalhador'!B142</f>
        <v>6.0000000000000001E-3</v>
      </c>
      <c r="D37" s="135">
        <f t="shared" si="0"/>
        <v>17.865915558333334</v>
      </c>
    </row>
    <row r="38" spans="1:4" ht="16.2" thickBot="1" x14ac:dyDescent="0.35">
      <c r="A38" s="114" t="s">
        <v>166</v>
      </c>
      <c r="B38" s="115" t="s">
        <v>26</v>
      </c>
      <c r="C38" s="249">
        <f>'Custo por trabalhador'!B143</f>
        <v>2E-3</v>
      </c>
      <c r="D38" s="135">
        <f t="shared" si="0"/>
        <v>5.9553051861111115</v>
      </c>
    </row>
    <row r="39" spans="1:4" ht="16.2" thickBot="1" x14ac:dyDescent="0.35">
      <c r="A39" s="114" t="s">
        <v>183</v>
      </c>
      <c r="B39" s="115" t="s">
        <v>27</v>
      </c>
      <c r="C39" s="249">
        <f>'Custo por trabalhador'!B144</f>
        <v>0.08</v>
      </c>
      <c r="D39" s="135">
        <f t="shared" si="0"/>
        <v>238.21220744444446</v>
      </c>
    </row>
    <row r="40" spans="1:4" ht="16.2" thickBot="1" x14ac:dyDescent="0.35">
      <c r="A40" s="425" t="s">
        <v>184</v>
      </c>
      <c r="B40" s="426"/>
      <c r="C40" s="146">
        <f>'Custo por trabalhador'!B145</f>
        <v>0.39800000000000008</v>
      </c>
      <c r="D40" s="144">
        <f>SUM(D32:D39)</f>
        <v>1185.1057320361112</v>
      </c>
    </row>
    <row r="41" spans="1:4" ht="15.6" x14ac:dyDescent="0.3">
      <c r="A41" s="120"/>
      <c r="B41" s="120"/>
      <c r="C41" s="120"/>
      <c r="D41" s="120"/>
    </row>
    <row r="42" spans="1:4" ht="15.6" x14ac:dyDescent="0.3">
      <c r="A42" s="424" t="s">
        <v>185</v>
      </c>
      <c r="B42" s="424"/>
      <c r="C42" s="424"/>
      <c r="D42" s="120"/>
    </row>
    <row r="43" spans="1:4" ht="16.2" thickBot="1" x14ac:dyDescent="0.35">
      <c r="A43" s="120"/>
      <c r="B43" s="120"/>
      <c r="C43" s="120"/>
      <c r="D43" s="120"/>
    </row>
    <row r="44" spans="1:4" ht="16.2" thickBot="1" x14ac:dyDescent="0.35">
      <c r="A44" s="112" t="s">
        <v>186</v>
      </c>
      <c r="B44" s="113" t="s">
        <v>187</v>
      </c>
      <c r="C44" s="113" t="s">
        <v>159</v>
      </c>
      <c r="D44" s="120"/>
    </row>
    <row r="45" spans="1:4" ht="16.2" thickBot="1" x14ac:dyDescent="0.35">
      <c r="A45" s="114" t="s">
        <v>160</v>
      </c>
      <c r="B45" s="115" t="str">
        <f>'Custo por trabalhador'!B279</f>
        <v>Vale Transporte - Cláusula 16ª CCT 2024/2026</v>
      </c>
      <c r="C45" s="135">
        <f>'Custo por trabalhador'!B282</f>
        <v>90.482100000000003</v>
      </c>
      <c r="D45" s="120"/>
    </row>
    <row r="46" spans="1:4" ht="16.2" thickBot="1" x14ac:dyDescent="0.35">
      <c r="A46" s="114" t="s">
        <v>161</v>
      </c>
      <c r="B46" s="115" t="str">
        <f>'Custo por trabalhador'!C279</f>
        <v>Vale Refeição - Cláusula 15ª CCT 2024/2026</v>
      </c>
      <c r="C46" s="135">
        <f>'Custo por trabalhador'!C282</f>
        <v>471.96069999999997</v>
      </c>
      <c r="D46" s="120"/>
    </row>
    <row r="47" spans="1:4" ht="16.2" thickBot="1" x14ac:dyDescent="0.35">
      <c r="A47" s="114" t="s">
        <v>162</v>
      </c>
      <c r="B47" s="115" t="str">
        <f>'Custo por trabalhador'!D279</f>
        <v xml:space="preserve"> Card Saúde- Abraps Bombank - Clausula 58º CCT 2024/2026</v>
      </c>
      <c r="C47" s="135">
        <f>'Custo por trabalhador'!D282</f>
        <v>83.88</v>
      </c>
      <c r="D47" s="120"/>
    </row>
    <row r="48" spans="1:4" ht="16.2" thickBot="1" x14ac:dyDescent="0.35">
      <c r="A48" s="114" t="s">
        <v>163</v>
      </c>
      <c r="B48" s="115" t="s">
        <v>167</v>
      </c>
      <c r="C48" s="135">
        <f>'Custo por trabalhador'!E282</f>
        <v>0</v>
      </c>
      <c r="D48" s="120"/>
    </row>
    <row r="49" spans="1:4" ht="16.2" thickBot="1" x14ac:dyDescent="0.35">
      <c r="A49" s="425" t="s">
        <v>12</v>
      </c>
      <c r="B49" s="426"/>
      <c r="C49" s="139">
        <f>SUM(C45:C48)</f>
        <v>646.32280000000003</v>
      </c>
      <c r="D49" s="120"/>
    </row>
    <row r="50" spans="1:4" ht="15.6" x14ac:dyDescent="0.3">
      <c r="A50" s="120"/>
      <c r="B50" s="120"/>
      <c r="C50" s="120"/>
      <c r="D50" s="120"/>
    </row>
    <row r="51" spans="1:4" ht="15.6" x14ac:dyDescent="0.3">
      <c r="A51" s="424" t="s">
        <v>188</v>
      </c>
      <c r="B51" s="424"/>
      <c r="C51" s="424"/>
      <c r="D51" s="120"/>
    </row>
    <row r="52" spans="1:4" ht="16.2" thickBot="1" x14ac:dyDescent="0.35">
      <c r="A52" s="120"/>
      <c r="B52" s="120"/>
      <c r="C52" s="120"/>
      <c r="D52" s="120"/>
    </row>
    <row r="53" spans="1:4" ht="16.2" thickBot="1" x14ac:dyDescent="0.35">
      <c r="A53" s="112">
        <v>2</v>
      </c>
      <c r="B53" s="113" t="s">
        <v>189</v>
      </c>
      <c r="C53" s="113" t="s">
        <v>159</v>
      </c>
      <c r="D53" s="120"/>
    </row>
    <row r="54" spans="1:4" ht="16.2" thickBot="1" x14ac:dyDescent="0.35">
      <c r="A54" s="114" t="s">
        <v>170</v>
      </c>
      <c r="B54" s="115" t="s">
        <v>171</v>
      </c>
      <c r="C54" s="135">
        <f>'Custo por trabalhador'!B295</f>
        <v>484.73414305555553</v>
      </c>
      <c r="D54" s="120"/>
    </row>
    <row r="55" spans="1:4" ht="16.2" thickBot="1" x14ac:dyDescent="0.35">
      <c r="A55" s="114" t="s">
        <v>175</v>
      </c>
      <c r="B55" s="115" t="s">
        <v>176</v>
      </c>
      <c r="C55" s="135">
        <f>'Custo por trabalhador'!C295</f>
        <v>1185.1057320361115</v>
      </c>
      <c r="D55" s="120"/>
    </row>
    <row r="56" spans="1:4" ht="16.2" thickBot="1" x14ac:dyDescent="0.35">
      <c r="A56" s="114" t="s">
        <v>186</v>
      </c>
      <c r="B56" s="115" t="s">
        <v>187</v>
      </c>
      <c r="C56" s="135">
        <f>'Custo por trabalhador'!D295</f>
        <v>646.32280000000003</v>
      </c>
      <c r="D56" s="120"/>
    </row>
    <row r="57" spans="1:4" ht="16.2" thickBot="1" x14ac:dyDescent="0.35">
      <c r="A57" s="425" t="s">
        <v>12</v>
      </c>
      <c r="B57" s="426"/>
      <c r="C57" s="139">
        <f>SUM(C54:C56)</f>
        <v>2316.1626750916671</v>
      </c>
      <c r="D57" s="120"/>
    </row>
    <row r="58" spans="1:4" ht="15.6" x14ac:dyDescent="0.3">
      <c r="A58" s="120"/>
      <c r="B58" s="120"/>
      <c r="C58" s="120"/>
      <c r="D58" s="120"/>
    </row>
    <row r="59" spans="1:4" ht="15.6" x14ac:dyDescent="0.3">
      <c r="A59" s="413" t="s">
        <v>190</v>
      </c>
      <c r="B59" s="413"/>
      <c r="C59" s="413"/>
      <c r="D59" s="120"/>
    </row>
    <row r="60" spans="1:4" ht="16.2" thickBot="1" x14ac:dyDescent="0.35">
      <c r="A60" s="120"/>
      <c r="B60" s="120"/>
      <c r="C60" s="120"/>
      <c r="D60" s="120"/>
    </row>
    <row r="61" spans="1:4" s="120" customFormat="1" ht="16.2" thickBot="1" x14ac:dyDescent="0.35">
      <c r="A61" s="133">
        <v>3</v>
      </c>
      <c r="B61" s="195" t="s">
        <v>191</v>
      </c>
      <c r="C61" s="195" t="s">
        <v>159</v>
      </c>
      <c r="D61" s="195" t="s">
        <v>159</v>
      </c>
    </row>
    <row r="62" spans="1:4" s="120" customFormat="1" ht="15.6" x14ac:dyDescent="0.3">
      <c r="A62" s="40" t="s">
        <v>160</v>
      </c>
      <c r="B62" s="199" t="s">
        <v>192</v>
      </c>
      <c r="C62" s="200"/>
      <c r="D62" s="201">
        <f>'Custo por trabalhador'!B341</f>
        <v>2977.6525930555558</v>
      </c>
    </row>
    <row r="63" spans="1:4" s="120" customFormat="1" ht="15.6" x14ac:dyDescent="0.3">
      <c r="A63" s="23" t="s">
        <v>161</v>
      </c>
      <c r="B63" s="197" t="s">
        <v>193</v>
      </c>
      <c r="C63" s="198">
        <v>0.08</v>
      </c>
      <c r="D63" s="202">
        <f>'Custo por trabalhador'!C341</f>
        <v>238.21220744444446</v>
      </c>
    </row>
    <row r="64" spans="1:4" s="120" customFormat="1" ht="16.2" thickBot="1" x14ac:dyDescent="0.35">
      <c r="A64" s="24" t="s">
        <v>162</v>
      </c>
      <c r="B64" s="203" t="s">
        <v>194</v>
      </c>
      <c r="C64" s="221">
        <v>0.4</v>
      </c>
      <c r="D64" s="204">
        <f>'Custo por trabalhador'!D341</f>
        <v>95.284882977777784</v>
      </c>
    </row>
    <row r="65" spans="1:4" s="120" customFormat="1" ht="16.2" thickBot="1" x14ac:dyDescent="0.35">
      <c r="A65" s="208"/>
      <c r="B65" s="209" t="s">
        <v>253</v>
      </c>
      <c r="C65" s="225">
        <f>'Custo por trabalhador'!B307</f>
        <v>4.1999999999999997E-3</v>
      </c>
      <c r="D65" s="211">
        <f>'Custo por trabalhador'!F341</f>
        <v>13.906828670606668</v>
      </c>
    </row>
    <row r="66" spans="1:4" s="120" customFormat="1" ht="15.6" x14ac:dyDescent="0.3">
      <c r="A66" s="222" t="s">
        <v>163</v>
      </c>
      <c r="B66" s="223" t="s">
        <v>195</v>
      </c>
      <c r="C66" s="224"/>
      <c r="D66" s="201">
        <f>'Custo por trabalhador'!B376</f>
        <v>3623.9753930555557</v>
      </c>
    </row>
    <row r="67" spans="1:4" s="120" customFormat="1" ht="15.6" x14ac:dyDescent="0.3">
      <c r="A67" s="196" t="s">
        <v>164</v>
      </c>
      <c r="B67" s="197" t="s">
        <v>196</v>
      </c>
      <c r="C67" s="205">
        <f>C40</f>
        <v>0.39800000000000008</v>
      </c>
      <c r="D67" s="202">
        <f>'Custo por trabalhador'!C376</f>
        <v>1185.1057320361115</v>
      </c>
    </row>
    <row r="68" spans="1:4" s="120" customFormat="1" ht="16.2" thickBot="1" x14ac:dyDescent="0.35">
      <c r="A68" s="206" t="s">
        <v>165</v>
      </c>
      <c r="B68" s="203" t="s">
        <v>197</v>
      </c>
      <c r="C68" s="207">
        <v>0.4</v>
      </c>
      <c r="D68" s="204">
        <f>'Custo por trabalhador'!D376</f>
        <v>95.284882977777784</v>
      </c>
    </row>
    <row r="69" spans="1:4" s="120" customFormat="1" ht="16.2" thickBot="1" x14ac:dyDescent="0.35">
      <c r="A69" s="155"/>
      <c r="B69" s="209" t="s">
        <v>254</v>
      </c>
      <c r="C69" s="210">
        <f>'Custo por trabalhador'!B308</f>
        <v>1.9400000000000001E-2</v>
      </c>
      <c r="D69" s="211">
        <f>'Custo por trabalhador'!F376</f>
        <v>95.144700556547221</v>
      </c>
    </row>
    <row r="70" spans="1:4" s="120" customFormat="1" ht="16.2" thickBot="1" x14ac:dyDescent="0.35">
      <c r="A70" s="431" t="s">
        <v>12</v>
      </c>
      <c r="B70" s="432"/>
      <c r="C70" s="139"/>
      <c r="D70" s="139">
        <f>'Custo por trabalhador'!E413</f>
        <v>109.05152922715389</v>
      </c>
    </row>
    <row r="71" spans="1:4" ht="15.6" x14ac:dyDescent="0.3">
      <c r="A71" s="120"/>
      <c r="B71" s="120"/>
      <c r="C71" s="120"/>
      <c r="D71" s="120"/>
    </row>
    <row r="72" spans="1:4" ht="15.6" x14ac:dyDescent="0.3">
      <c r="A72" s="413" t="s">
        <v>198</v>
      </c>
      <c r="B72" s="413"/>
      <c r="C72" s="413"/>
      <c r="D72" s="120"/>
    </row>
    <row r="73" spans="1:4" ht="15.6" x14ac:dyDescent="0.3">
      <c r="A73" s="120"/>
      <c r="B73" s="120"/>
      <c r="C73" s="120"/>
      <c r="D73" s="120"/>
    </row>
    <row r="74" spans="1:4" ht="15.6" x14ac:dyDescent="0.3">
      <c r="A74" s="424" t="s">
        <v>199</v>
      </c>
      <c r="B74" s="424"/>
      <c r="C74" s="424"/>
      <c r="D74" s="120"/>
    </row>
    <row r="75" spans="1:4" ht="16.2" thickBot="1" x14ac:dyDescent="0.35">
      <c r="A75" s="28"/>
      <c r="B75" s="120"/>
      <c r="C75" s="120"/>
      <c r="D75" s="120"/>
    </row>
    <row r="76" spans="1:4" ht="16.2" thickBot="1" x14ac:dyDescent="0.35">
      <c r="A76" s="112" t="s">
        <v>200</v>
      </c>
      <c r="B76" s="113" t="s">
        <v>201</v>
      </c>
      <c r="C76" s="113" t="s">
        <v>159</v>
      </c>
      <c r="D76" s="120"/>
    </row>
    <row r="77" spans="1:4" ht="16.2" thickBot="1" x14ac:dyDescent="0.35">
      <c r="A77" s="114" t="s">
        <v>160</v>
      </c>
      <c r="B77" s="115" t="s">
        <v>201</v>
      </c>
      <c r="C77" s="135">
        <f>'Custo por trabalhador'!B498</f>
        <v>275.18933115455133</v>
      </c>
      <c r="D77" s="120"/>
    </row>
    <row r="78" spans="1:4" ht="16.2" thickBot="1" x14ac:dyDescent="0.35">
      <c r="A78" s="425" t="s">
        <v>184</v>
      </c>
      <c r="B78" s="426"/>
      <c r="C78" s="139">
        <f>SUM(C77:C77)</f>
        <v>275.18933115455133</v>
      </c>
      <c r="D78" s="120"/>
    </row>
    <row r="79" spans="1:4" ht="15.6" x14ac:dyDescent="0.3">
      <c r="A79" s="120"/>
      <c r="B79" s="120"/>
      <c r="C79" s="120"/>
      <c r="D79" s="120"/>
    </row>
    <row r="80" spans="1:4" ht="15.6" x14ac:dyDescent="0.3">
      <c r="A80" s="424" t="s">
        <v>202</v>
      </c>
      <c r="B80" s="424"/>
      <c r="C80" s="424"/>
      <c r="D80" s="120"/>
    </row>
    <row r="81" spans="1:4" ht="16.2" thickBot="1" x14ac:dyDescent="0.35">
      <c r="A81" s="28"/>
      <c r="B81" s="120"/>
      <c r="C81" s="120"/>
      <c r="D81" s="120"/>
    </row>
    <row r="82" spans="1:4" ht="16.2" thickBot="1" x14ac:dyDescent="0.35">
      <c r="A82" s="112" t="s">
        <v>203</v>
      </c>
      <c r="B82" s="113" t="s">
        <v>204</v>
      </c>
      <c r="C82" s="113" t="s">
        <v>159</v>
      </c>
      <c r="D82" s="120"/>
    </row>
    <row r="83" spans="1:4" ht="16.2" thickBot="1" x14ac:dyDescent="0.35">
      <c r="A83" s="114" t="s">
        <v>160</v>
      </c>
      <c r="B83" s="115" t="s">
        <v>227</v>
      </c>
      <c r="C83" s="135">
        <f>'Custo por trabalhador'!C498</f>
        <v>311.08856647003864</v>
      </c>
      <c r="D83" s="120"/>
    </row>
    <row r="84" spans="1:4" ht="16.2" thickBot="1" x14ac:dyDescent="0.35">
      <c r="A84" s="425" t="s">
        <v>12</v>
      </c>
      <c r="B84" s="426"/>
      <c r="C84" s="137">
        <f>SUM(C83)</f>
        <v>311.08856647003864</v>
      </c>
      <c r="D84" s="120"/>
    </row>
    <row r="85" spans="1:4" ht="15.6" x14ac:dyDescent="0.3">
      <c r="A85" s="120"/>
      <c r="B85" s="120"/>
      <c r="C85" s="120"/>
      <c r="D85" s="120"/>
    </row>
    <row r="86" spans="1:4" ht="15.6" x14ac:dyDescent="0.3">
      <c r="A86" s="424" t="s">
        <v>205</v>
      </c>
      <c r="B86" s="424"/>
      <c r="C86" s="424"/>
      <c r="D86" s="120"/>
    </row>
    <row r="87" spans="1:4" ht="16.2" thickBot="1" x14ac:dyDescent="0.35">
      <c r="A87" s="28"/>
      <c r="B87" s="120"/>
      <c r="C87" s="120"/>
      <c r="D87" s="120"/>
    </row>
    <row r="88" spans="1:4" ht="16.2" thickBot="1" x14ac:dyDescent="0.35">
      <c r="A88" s="112">
        <v>4</v>
      </c>
      <c r="B88" s="113" t="s">
        <v>206</v>
      </c>
      <c r="C88" s="113" t="s">
        <v>159</v>
      </c>
      <c r="D88" s="120"/>
    </row>
    <row r="89" spans="1:4" ht="16.2" thickBot="1" x14ac:dyDescent="0.35">
      <c r="A89" s="114" t="s">
        <v>200</v>
      </c>
      <c r="B89" s="115" t="s">
        <v>201</v>
      </c>
      <c r="C89" s="136">
        <f>C78</f>
        <v>275.18933115455133</v>
      </c>
      <c r="D89" s="120"/>
    </row>
    <row r="90" spans="1:4" ht="16.2" thickBot="1" x14ac:dyDescent="0.35">
      <c r="A90" s="114" t="s">
        <v>203</v>
      </c>
      <c r="B90" s="115" t="s">
        <v>204</v>
      </c>
      <c r="C90" s="136">
        <f>C84</f>
        <v>311.08856647003864</v>
      </c>
      <c r="D90" s="120"/>
    </row>
    <row r="91" spans="1:4" ht="16.2" thickBot="1" x14ac:dyDescent="0.35">
      <c r="A91" s="425" t="s">
        <v>12</v>
      </c>
      <c r="B91" s="426"/>
      <c r="C91" s="137">
        <f>SUM(C89:C90)</f>
        <v>586.27789762458997</v>
      </c>
      <c r="D91" s="120"/>
    </row>
    <row r="92" spans="1:4" ht="15.6" x14ac:dyDescent="0.3">
      <c r="A92" s="120"/>
      <c r="B92" s="120"/>
      <c r="C92" s="120"/>
      <c r="D92" s="120"/>
    </row>
    <row r="93" spans="1:4" ht="15.6" x14ac:dyDescent="0.3">
      <c r="A93" s="413" t="s">
        <v>207</v>
      </c>
      <c r="B93" s="413"/>
      <c r="C93" s="413"/>
      <c r="D93" s="120"/>
    </row>
    <row r="94" spans="1:4" ht="16.2" thickBot="1" x14ac:dyDescent="0.35">
      <c r="A94" s="120"/>
      <c r="B94" s="120"/>
      <c r="C94" s="120"/>
      <c r="D94" s="120"/>
    </row>
    <row r="95" spans="1:4" ht="16.2" thickBot="1" x14ac:dyDescent="0.35">
      <c r="A95" s="112">
        <v>5</v>
      </c>
      <c r="B95" s="119" t="s">
        <v>120</v>
      </c>
      <c r="C95" s="113" t="s">
        <v>159</v>
      </c>
      <c r="D95" s="120"/>
    </row>
    <row r="96" spans="1:4" ht="16.2" thickBot="1" x14ac:dyDescent="0.35">
      <c r="A96" s="114" t="s">
        <v>160</v>
      </c>
      <c r="B96" s="115" t="s">
        <v>208</v>
      </c>
      <c r="C96" s="135">
        <f>'Custo por trabalhador'!B591</f>
        <v>256.16666666666669</v>
      </c>
      <c r="D96" s="120"/>
    </row>
    <row r="97" spans="1:4" ht="16.2" thickBot="1" x14ac:dyDescent="0.35">
      <c r="A97" s="114" t="s">
        <v>161</v>
      </c>
      <c r="B97" s="115" t="s">
        <v>209</v>
      </c>
      <c r="C97" s="135">
        <f>'Custo por trabalhador'!C591</f>
        <v>1564.3675000000001</v>
      </c>
      <c r="D97" s="120"/>
    </row>
    <row r="98" spans="1:4" ht="16.2" thickBot="1" x14ac:dyDescent="0.35">
      <c r="A98" s="114" t="s">
        <v>162</v>
      </c>
      <c r="B98" s="115" t="s">
        <v>210</v>
      </c>
      <c r="C98" s="135">
        <f>'Custo por trabalhador'!D591</f>
        <v>154.17070833333332</v>
      </c>
      <c r="D98" s="120"/>
    </row>
    <row r="99" spans="1:4" ht="16.2" thickBot="1" x14ac:dyDescent="0.35">
      <c r="A99" s="114" t="s">
        <v>163</v>
      </c>
      <c r="B99" s="115" t="s">
        <v>258</v>
      </c>
      <c r="C99" s="135"/>
      <c r="D99" s="120"/>
    </row>
    <row r="100" spans="1:4" ht="16.2" thickBot="1" x14ac:dyDescent="0.35">
      <c r="A100" s="425" t="s">
        <v>184</v>
      </c>
      <c r="B100" s="426"/>
      <c r="C100" s="137">
        <f>SUM(C96:C99)</f>
        <v>1974.7048750000001</v>
      </c>
      <c r="D100" s="120"/>
    </row>
    <row r="101" spans="1:4" ht="15.6" x14ac:dyDescent="0.3">
      <c r="A101" s="120"/>
      <c r="B101" s="120"/>
      <c r="C101" s="120"/>
      <c r="D101" s="120"/>
    </row>
    <row r="102" spans="1:4" ht="15.6" x14ac:dyDescent="0.3">
      <c r="A102" s="413" t="s">
        <v>211</v>
      </c>
      <c r="B102" s="413"/>
      <c r="C102" s="413"/>
      <c r="D102" s="120"/>
    </row>
    <row r="103" spans="1:4" ht="16.2" thickBot="1" x14ac:dyDescent="0.35">
      <c r="A103" s="120"/>
      <c r="B103" s="120"/>
      <c r="C103" s="120"/>
      <c r="D103" s="120"/>
    </row>
    <row r="104" spans="1:4" ht="16.2" thickBot="1" x14ac:dyDescent="0.35">
      <c r="A104" s="112">
        <v>6</v>
      </c>
      <c r="B104" s="119" t="s">
        <v>121</v>
      </c>
      <c r="C104" s="113" t="s">
        <v>177</v>
      </c>
      <c r="D104" s="113" t="s">
        <v>159</v>
      </c>
    </row>
    <row r="105" spans="1:4" ht="16.2" thickBot="1" x14ac:dyDescent="0.35">
      <c r="A105" s="114" t="s">
        <v>160</v>
      </c>
      <c r="B105" s="115" t="s">
        <v>138</v>
      </c>
      <c r="C105" s="117">
        <f>'Custo por trabalhador'!B601</f>
        <v>0.03</v>
      </c>
      <c r="D105" s="116"/>
    </row>
    <row r="106" spans="1:4" ht="16.2" thickBot="1" x14ac:dyDescent="0.35">
      <c r="A106" s="114" t="s">
        <v>161</v>
      </c>
      <c r="B106" s="115" t="s">
        <v>140</v>
      </c>
      <c r="C106" s="117">
        <f>'Custo por trabalhador'!B603</f>
        <v>3.2599999999999997E-2</v>
      </c>
      <c r="D106" s="116"/>
    </row>
    <row r="107" spans="1:4" ht="16.2" thickBot="1" x14ac:dyDescent="0.35">
      <c r="A107" s="114" t="s">
        <v>162</v>
      </c>
      <c r="B107" s="115" t="s">
        <v>139</v>
      </c>
      <c r="C107" s="117">
        <f>'Custo por trabalhador'!B602</f>
        <v>8.6499999999999994E-2</v>
      </c>
      <c r="D107" s="116"/>
    </row>
    <row r="108" spans="1:4" ht="16.2" thickBot="1" x14ac:dyDescent="0.35">
      <c r="A108" s="114"/>
      <c r="B108" s="115" t="s">
        <v>212</v>
      </c>
      <c r="C108" s="117"/>
      <c r="D108" s="116"/>
    </row>
    <row r="109" spans="1:4" ht="16.2" thickBot="1" x14ac:dyDescent="0.35">
      <c r="A109" s="114"/>
      <c r="B109" s="115" t="s">
        <v>213</v>
      </c>
      <c r="C109" s="117"/>
      <c r="D109" s="116"/>
    </row>
    <row r="110" spans="1:4" ht="16.2" thickBot="1" x14ac:dyDescent="0.35">
      <c r="A110" s="114"/>
      <c r="B110" s="115" t="s">
        <v>214</v>
      </c>
      <c r="C110" s="117"/>
      <c r="D110" s="116"/>
    </row>
    <row r="111" spans="1:4" ht="16.2" thickBot="1" x14ac:dyDescent="0.35">
      <c r="A111" s="425" t="s">
        <v>184</v>
      </c>
      <c r="B111" s="426"/>
      <c r="C111" s="146">
        <f>'Custo por trabalhador'!C607</f>
        <v>0.16925871268021342</v>
      </c>
      <c r="D111" s="139">
        <f>'Custo por trabalhador'!D609</f>
        <v>957.76417971082128</v>
      </c>
    </row>
    <row r="112" spans="1:4" ht="16.2" thickBot="1" x14ac:dyDescent="0.35">
      <c r="A112" s="120"/>
      <c r="B112" s="120"/>
      <c r="C112" s="120"/>
      <c r="D112" s="120"/>
    </row>
    <row r="113" spans="1:5" s="120" customFormat="1" ht="16.2" thickBot="1" x14ac:dyDescent="0.35">
      <c r="A113" s="373" t="s">
        <v>255</v>
      </c>
      <c r="B113" s="374"/>
      <c r="C113" s="375"/>
    </row>
    <row r="114" spans="1:5" s="120" customFormat="1" ht="16.2" thickBot="1" x14ac:dyDescent="0.35">
      <c r="A114" s="215" t="s">
        <v>160</v>
      </c>
      <c r="B114" s="216" t="s">
        <v>256</v>
      </c>
      <c r="C114" s="217">
        <f>'Custo por trabalhador'!D621</f>
        <v>137.27509024047339</v>
      </c>
    </row>
    <row r="115" spans="1:5" ht="15.6" x14ac:dyDescent="0.3">
      <c r="A115" s="120"/>
      <c r="B115" s="120"/>
      <c r="C115" s="120"/>
      <c r="D115" s="120"/>
    </row>
    <row r="116" spans="1:5" ht="15.6" x14ac:dyDescent="0.3">
      <c r="A116" s="413" t="s">
        <v>215</v>
      </c>
      <c r="B116" s="413"/>
      <c r="C116" s="413"/>
      <c r="D116" s="120"/>
    </row>
    <row r="117" spans="1:5" ht="16.2" thickBot="1" x14ac:dyDescent="0.35">
      <c r="A117" s="120"/>
      <c r="B117" s="120"/>
      <c r="C117" s="120"/>
      <c r="D117" s="120"/>
    </row>
    <row r="118" spans="1:5" ht="16.2" thickBot="1" x14ac:dyDescent="0.35">
      <c r="A118" s="112"/>
      <c r="B118" s="113" t="s">
        <v>216</v>
      </c>
      <c r="C118" s="113" t="s">
        <v>159</v>
      </c>
      <c r="D118" s="120"/>
    </row>
    <row r="119" spans="1:5" ht="16.2" thickBot="1" x14ac:dyDescent="0.35">
      <c r="A119" s="121" t="s">
        <v>160</v>
      </c>
      <c r="B119" s="115" t="s">
        <v>157</v>
      </c>
      <c r="C119" s="140">
        <f>'Custo por trabalhador'!D629</f>
        <v>2492.9184500000001</v>
      </c>
      <c r="D119" s="120"/>
    </row>
    <row r="120" spans="1:5" ht="16.2" thickBot="1" x14ac:dyDescent="0.35">
      <c r="A120" s="121" t="s">
        <v>161</v>
      </c>
      <c r="B120" s="115" t="s">
        <v>168</v>
      </c>
      <c r="C120" s="140">
        <f>'Custo por trabalhador'!D630</f>
        <v>2316.1626750916671</v>
      </c>
      <c r="D120" s="120"/>
    </row>
    <row r="121" spans="1:5" ht="16.2" thickBot="1" x14ac:dyDescent="0.35">
      <c r="A121" s="121" t="s">
        <v>162</v>
      </c>
      <c r="B121" s="115" t="s">
        <v>190</v>
      </c>
      <c r="C121" s="140">
        <f>'Custo por trabalhador'!D631</f>
        <v>109.05152922715389</v>
      </c>
      <c r="D121" s="120"/>
    </row>
    <row r="122" spans="1:5" ht="16.2" thickBot="1" x14ac:dyDescent="0.35">
      <c r="A122" s="121" t="s">
        <v>163</v>
      </c>
      <c r="B122" s="115" t="s">
        <v>198</v>
      </c>
      <c r="C122" s="140">
        <f>'Custo por trabalhador'!D632</f>
        <v>586.27789762458997</v>
      </c>
      <c r="D122" s="120"/>
    </row>
    <row r="123" spans="1:5" ht="16.2" thickBot="1" x14ac:dyDescent="0.35">
      <c r="A123" s="121" t="s">
        <v>164</v>
      </c>
      <c r="B123" s="115" t="s">
        <v>207</v>
      </c>
      <c r="C123" s="140">
        <f>'Custo por trabalhador'!D633</f>
        <v>1974.7048750000001</v>
      </c>
      <c r="D123" s="120"/>
    </row>
    <row r="124" spans="1:5" ht="16.5" customHeight="1" thickBot="1" x14ac:dyDescent="0.35">
      <c r="A124" s="425" t="s">
        <v>217</v>
      </c>
      <c r="B124" s="426"/>
      <c r="C124" s="141">
        <f>ROUND(SUM(C119:C123),(2))</f>
        <v>7479.12</v>
      </c>
      <c r="D124" s="120"/>
    </row>
    <row r="125" spans="1:5" s="120" customFormat="1" ht="16.2" thickBot="1" x14ac:dyDescent="0.35">
      <c r="A125" s="133" t="s">
        <v>165</v>
      </c>
      <c r="B125" s="134" t="s">
        <v>218</v>
      </c>
      <c r="C125" s="142">
        <f>'Custo por trabalhador'!D634</f>
        <v>957.76417971082128</v>
      </c>
    </row>
    <row r="126" spans="1:5" s="120" customFormat="1" ht="16.2" thickBot="1" x14ac:dyDescent="0.35">
      <c r="A126" s="133" t="s">
        <v>166</v>
      </c>
      <c r="B126" s="134" t="s">
        <v>256</v>
      </c>
      <c r="C126" s="142">
        <f>'Custo por trabalhador'!D635</f>
        <v>137.27509024047339</v>
      </c>
    </row>
    <row r="127" spans="1:5" s="120" customFormat="1" ht="16.2" thickBot="1" x14ac:dyDescent="0.35">
      <c r="A127" s="418" t="s">
        <v>219</v>
      </c>
      <c r="B127" s="419"/>
      <c r="C127" s="147">
        <f>ROUND(SUM(C119:C123,C125:C126),(2))</f>
        <v>8574.15</v>
      </c>
      <c r="E127" s="143"/>
    </row>
    <row r="128" spans="1:5" s="120" customFormat="1" ht="16.2" thickBot="1" x14ac:dyDescent="0.35">
      <c r="A128" s="418" t="s">
        <v>240</v>
      </c>
      <c r="B128" s="419"/>
      <c r="C128" s="147">
        <f>ROUND((C127),(2))*2</f>
        <v>17148.3</v>
      </c>
    </row>
  </sheetData>
  <mergeCells count="34">
    <mergeCell ref="A22:C22"/>
    <mergeCell ref="A27:B27"/>
    <mergeCell ref="A1:D1"/>
    <mergeCell ref="A2:D2"/>
    <mergeCell ref="A3:D3"/>
    <mergeCell ref="A8:C8"/>
    <mergeCell ref="A18:B18"/>
    <mergeCell ref="A5:C5"/>
    <mergeCell ref="A6:C6"/>
    <mergeCell ref="A124:B124"/>
    <mergeCell ref="A70:B70"/>
    <mergeCell ref="A127:B127"/>
    <mergeCell ref="A128:B128"/>
    <mergeCell ref="A20:C20"/>
    <mergeCell ref="A49:B49"/>
    <mergeCell ref="A51:C51"/>
    <mergeCell ref="A116:C116"/>
    <mergeCell ref="A74:C74"/>
    <mergeCell ref="A78:B78"/>
    <mergeCell ref="A80:C80"/>
    <mergeCell ref="A84:B84"/>
    <mergeCell ref="A86:C86"/>
    <mergeCell ref="A91:B91"/>
    <mergeCell ref="A93:C93"/>
    <mergeCell ref="A100:B100"/>
    <mergeCell ref="A113:C113"/>
    <mergeCell ref="A29:D29"/>
    <mergeCell ref="A40:B40"/>
    <mergeCell ref="A42:C42"/>
    <mergeCell ref="A57:B57"/>
    <mergeCell ref="A59:C59"/>
    <mergeCell ref="A72:C72"/>
    <mergeCell ref="A102:C102"/>
    <mergeCell ref="A111:B1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28"/>
  <sheetViews>
    <sheetView zoomScale="115" zoomScaleNormal="115" workbookViewId="0">
      <selection activeCell="C129" sqref="C129"/>
    </sheetView>
  </sheetViews>
  <sheetFormatPr defaultRowHeight="14.4" x14ac:dyDescent="0.3"/>
  <cols>
    <col min="2" max="2" width="79.88671875" customWidth="1"/>
    <col min="3" max="3" width="18" customWidth="1"/>
    <col min="4" max="4" width="14.33203125" customWidth="1"/>
  </cols>
  <sheetData>
    <row r="1" spans="1:4" ht="22.8" x14ac:dyDescent="0.4">
      <c r="A1" s="394" t="s">
        <v>220</v>
      </c>
      <c r="B1" s="394"/>
      <c r="C1" s="394"/>
      <c r="D1" s="394"/>
    </row>
    <row r="2" spans="1:4" ht="22.8" x14ac:dyDescent="0.4">
      <c r="A2" s="394" t="s">
        <v>232</v>
      </c>
      <c r="B2" s="394"/>
      <c r="C2" s="394"/>
      <c r="D2" s="394"/>
    </row>
    <row r="3" spans="1:4" ht="15.6" x14ac:dyDescent="0.3">
      <c r="A3" s="423" t="s">
        <v>226</v>
      </c>
      <c r="B3" s="423"/>
      <c r="C3" s="423"/>
      <c r="D3" s="423"/>
    </row>
    <row r="4" spans="1:4" ht="16.2" thickBot="1" x14ac:dyDescent="0.35">
      <c r="A4" s="145"/>
      <c r="B4" s="145"/>
      <c r="C4" s="145"/>
      <c r="D4" s="145"/>
    </row>
    <row r="5" spans="1:4" ht="16.2" thickBot="1" x14ac:dyDescent="0.35">
      <c r="A5" s="435" t="s">
        <v>241</v>
      </c>
      <c r="B5" s="436"/>
      <c r="C5" s="437"/>
      <c r="D5" s="145"/>
    </row>
    <row r="6" spans="1:4" ht="15.6" customHeight="1" thickBot="1" x14ac:dyDescent="0.35">
      <c r="A6" s="438" t="s">
        <v>231</v>
      </c>
      <c r="B6" s="439"/>
      <c r="C6" s="440"/>
      <c r="D6" s="145"/>
    </row>
    <row r="7" spans="1:4" ht="15.6" x14ac:dyDescent="0.3">
      <c r="A7" s="120"/>
      <c r="B7" s="120"/>
      <c r="C7" s="120"/>
      <c r="D7" s="120"/>
    </row>
    <row r="8" spans="1:4" ht="15.6" x14ac:dyDescent="0.3">
      <c r="A8" s="413" t="s">
        <v>157</v>
      </c>
      <c r="B8" s="413"/>
      <c r="C8" s="413"/>
      <c r="D8" s="120"/>
    </row>
    <row r="9" spans="1:4" ht="16.2" thickBot="1" x14ac:dyDescent="0.35">
      <c r="A9" s="120"/>
      <c r="B9" s="120"/>
      <c r="C9" s="120"/>
      <c r="D9" s="120"/>
    </row>
    <row r="10" spans="1:4" ht="20.100000000000001" customHeight="1" thickBot="1" x14ac:dyDescent="0.35">
      <c r="A10" s="112">
        <v>1</v>
      </c>
      <c r="B10" s="113" t="s">
        <v>158</v>
      </c>
      <c r="C10" s="113" t="s">
        <v>159</v>
      </c>
      <c r="D10" s="120"/>
    </row>
    <row r="11" spans="1:4" ht="20.100000000000001" customHeight="1" thickBot="1" x14ac:dyDescent="0.35">
      <c r="A11" s="114" t="s">
        <v>160</v>
      </c>
      <c r="B11" s="115" t="str">
        <f>'Custo por trabalhador'!B74</f>
        <v>Salário Base - Cláusula 3ª, CCT 2024/2026</v>
      </c>
      <c r="C11" s="135">
        <f>'Custo por trabalhador'!B78</f>
        <v>1733.93</v>
      </c>
      <c r="D11" s="120"/>
    </row>
    <row r="12" spans="1:4" ht="20.100000000000001" customHeight="1" thickBot="1" x14ac:dyDescent="0.35">
      <c r="A12" s="114" t="s">
        <v>161</v>
      </c>
      <c r="B12" s="115" t="str">
        <f>'Custo por trabalhador'!C74</f>
        <v xml:space="preserve">Gratificação de Função e Adicional -  Cláusula 12ª CCT 2024/2026, § 1º, Alínea a </v>
      </c>
      <c r="C12" s="135">
        <f>'Custo por trabalhador'!C78</f>
        <v>0</v>
      </c>
      <c r="D12" s="120"/>
    </row>
    <row r="13" spans="1:4" ht="20.100000000000001" customHeight="1" thickBot="1" x14ac:dyDescent="0.35">
      <c r="A13" s="114" t="s">
        <v>162</v>
      </c>
      <c r="B13" s="115" t="str">
        <f>'Custo por trabalhador'!D74</f>
        <v xml:space="preserve">Gratificação de Função e Adicional -  Cláusula 12ª CCT 2024/2026, § 2º, Alínea a </v>
      </c>
      <c r="C13" s="135">
        <f>'Custo por trabalhador'!D78</f>
        <v>208.07159999999999</v>
      </c>
      <c r="D13" s="120"/>
    </row>
    <row r="14" spans="1:4" ht="20.100000000000001" customHeight="1" thickBot="1" x14ac:dyDescent="0.35">
      <c r="A14" s="114" t="s">
        <v>163</v>
      </c>
      <c r="B14" s="115" t="str">
        <f>'Custo por trabalhador'!E74</f>
        <v>Adicional de   Periculosidade   - Cláusula 14º CCT 2024/2026</v>
      </c>
      <c r="C14" s="135">
        <f>'Custo por trabalhador'!E78</f>
        <v>520.17899999999997</v>
      </c>
      <c r="D14" s="120"/>
    </row>
    <row r="15" spans="1:4" ht="20.100000000000001" customHeight="1" thickBot="1" x14ac:dyDescent="0.35">
      <c r="A15" s="114" t="s">
        <v>164</v>
      </c>
      <c r="B15" s="115" t="str">
        <f>'Custo por trabalhador'!F74</f>
        <v>Adicional Noturno - Cláusula 13ª CCT 2024/2026</v>
      </c>
      <c r="C15" s="135">
        <f>'Custo por trabalhador'!F78</f>
        <v>375.68483333333336</v>
      </c>
      <c r="D15" s="120"/>
    </row>
    <row r="16" spans="1:4" ht="20.100000000000001" customHeight="1" thickBot="1" x14ac:dyDescent="0.35">
      <c r="A16" s="114" t="s">
        <v>165</v>
      </c>
      <c r="B16" s="115" t="str">
        <f>'Custo por trabalhador'!G74</f>
        <v>Adicional - Clausula 31º, § 4º - CCT 2024/2026</v>
      </c>
      <c r="C16" s="135">
        <f>'Custo por trabalhador'!G78</f>
        <v>35.860824999999998</v>
      </c>
      <c r="D16" s="120"/>
    </row>
    <row r="17" spans="1:4" ht="20.100000000000001" customHeight="1" thickBot="1" x14ac:dyDescent="0.35">
      <c r="A17" s="114"/>
      <c r="B17" s="115"/>
      <c r="C17" s="135"/>
      <c r="D17" s="120"/>
    </row>
    <row r="18" spans="1:4" ht="20.100000000000001" customHeight="1" thickBot="1" x14ac:dyDescent="0.35">
      <c r="A18" s="425" t="s">
        <v>12</v>
      </c>
      <c r="B18" s="426"/>
      <c r="C18" s="139">
        <f>SUM(C11:C17)</f>
        <v>2873.7262583333336</v>
      </c>
      <c r="D18" s="120"/>
    </row>
    <row r="19" spans="1:4" ht="15.6" x14ac:dyDescent="0.3">
      <c r="A19" s="120"/>
      <c r="B19" s="120"/>
      <c r="C19" s="120"/>
      <c r="D19" s="120"/>
    </row>
    <row r="20" spans="1:4" ht="15.6" x14ac:dyDescent="0.3">
      <c r="A20" s="413" t="s">
        <v>168</v>
      </c>
      <c r="B20" s="413"/>
      <c r="C20" s="413"/>
      <c r="D20" s="120"/>
    </row>
    <row r="21" spans="1:4" ht="15.6" x14ac:dyDescent="0.3">
      <c r="A21" s="28"/>
      <c r="B21" s="120"/>
      <c r="C21" s="120"/>
      <c r="D21" s="120"/>
    </row>
    <row r="22" spans="1:4" ht="15.6" x14ac:dyDescent="0.3">
      <c r="A22" s="424" t="s">
        <v>169</v>
      </c>
      <c r="B22" s="424"/>
      <c r="C22" s="424"/>
      <c r="D22" s="120"/>
    </row>
    <row r="23" spans="1:4" ht="16.2" thickBot="1" x14ac:dyDescent="0.35">
      <c r="A23" s="120"/>
      <c r="B23" s="120"/>
      <c r="C23" s="120"/>
      <c r="D23" s="120"/>
    </row>
    <row r="24" spans="1:4" ht="16.2" thickBot="1" x14ac:dyDescent="0.35">
      <c r="A24" s="112" t="s">
        <v>170</v>
      </c>
      <c r="B24" s="113" t="s">
        <v>171</v>
      </c>
      <c r="C24" s="113" t="s">
        <v>159</v>
      </c>
      <c r="D24" s="120"/>
    </row>
    <row r="25" spans="1:4" ht="16.2" thickBot="1" x14ac:dyDescent="0.35">
      <c r="A25" s="114" t="s">
        <v>160</v>
      </c>
      <c r="B25" s="115" t="s">
        <v>172</v>
      </c>
      <c r="C25" s="135">
        <f>'Custo por trabalhador'!B126</f>
        <v>239.47718819444447</v>
      </c>
      <c r="D25" s="120"/>
    </row>
    <row r="26" spans="1:4" ht="16.2" thickBot="1" x14ac:dyDescent="0.35">
      <c r="A26" s="114" t="s">
        <v>161</v>
      </c>
      <c r="B26" s="115" t="s">
        <v>173</v>
      </c>
      <c r="C26" s="135">
        <f>'Custo por trabalhador'!C126+'Custo por trabalhador'!D126</f>
        <v>287.56893356481481</v>
      </c>
      <c r="D26" s="120"/>
    </row>
    <row r="27" spans="1:4" ht="16.2" thickBot="1" x14ac:dyDescent="0.35">
      <c r="A27" s="425" t="s">
        <v>12</v>
      </c>
      <c r="B27" s="426"/>
      <c r="C27" s="139">
        <f>SUM(C25:C26)</f>
        <v>527.04612175925922</v>
      </c>
      <c r="D27" s="120"/>
    </row>
    <row r="28" spans="1:4" ht="15.6" x14ac:dyDescent="0.3">
      <c r="A28" s="120"/>
      <c r="B28" s="120"/>
      <c r="C28" s="120"/>
      <c r="D28" s="120"/>
    </row>
    <row r="29" spans="1:4" ht="15.75" customHeight="1" x14ac:dyDescent="0.3">
      <c r="A29" s="427" t="s">
        <v>174</v>
      </c>
      <c r="B29" s="427"/>
      <c r="C29" s="427"/>
      <c r="D29" s="427"/>
    </row>
    <row r="30" spans="1:4" ht="16.2" thickBot="1" x14ac:dyDescent="0.35">
      <c r="A30" s="120"/>
      <c r="B30" s="120"/>
      <c r="C30" s="120"/>
      <c r="D30" s="120"/>
    </row>
    <row r="31" spans="1:4" ht="16.2" thickBot="1" x14ac:dyDescent="0.35">
      <c r="A31" s="112" t="s">
        <v>175</v>
      </c>
      <c r="B31" s="113" t="s">
        <v>176</v>
      </c>
      <c r="C31" s="248" t="s">
        <v>177</v>
      </c>
      <c r="D31" s="113" t="s">
        <v>159</v>
      </c>
    </row>
    <row r="32" spans="1:4" ht="16.2" thickBot="1" x14ac:dyDescent="0.35">
      <c r="A32" s="114" t="s">
        <v>160</v>
      </c>
      <c r="B32" s="115" t="s">
        <v>178</v>
      </c>
      <c r="C32" s="249">
        <f>'Custo por trabalhador'!B137</f>
        <v>0.2</v>
      </c>
      <c r="D32" s="135">
        <f t="shared" ref="D32:D39" si="0">($C$18+$C$27)*C32</f>
        <v>680.15447601851861</v>
      </c>
    </row>
    <row r="33" spans="1:4" ht="16.2" thickBot="1" x14ac:dyDescent="0.35">
      <c r="A33" s="114" t="s">
        <v>161</v>
      </c>
      <c r="B33" s="115" t="s">
        <v>179</v>
      </c>
      <c r="C33" s="249">
        <f>'Custo por trabalhador'!B138</f>
        <v>2.5000000000000001E-2</v>
      </c>
      <c r="D33" s="135">
        <f t="shared" si="0"/>
        <v>85.019309502314826</v>
      </c>
    </row>
    <row r="34" spans="1:4" ht="16.2" thickBot="1" x14ac:dyDescent="0.35">
      <c r="A34" s="114" t="s">
        <v>162</v>
      </c>
      <c r="B34" s="115" t="s">
        <v>180</v>
      </c>
      <c r="C34" s="118">
        <f>'Custo por trabalhador'!B139</f>
        <v>0.06</v>
      </c>
      <c r="D34" s="135">
        <f t="shared" si="0"/>
        <v>204.04634280555555</v>
      </c>
    </row>
    <row r="35" spans="1:4" ht="16.2" thickBot="1" x14ac:dyDescent="0.35">
      <c r="A35" s="114" t="s">
        <v>163</v>
      </c>
      <c r="B35" s="115" t="s">
        <v>181</v>
      </c>
      <c r="C35" s="249">
        <f>'Custo por trabalhador'!B140</f>
        <v>1.4999999999999999E-2</v>
      </c>
      <c r="D35" s="135">
        <f t="shared" si="0"/>
        <v>51.011585701388888</v>
      </c>
    </row>
    <row r="36" spans="1:4" ht="16.2" thickBot="1" x14ac:dyDescent="0.35">
      <c r="A36" s="114" t="s">
        <v>164</v>
      </c>
      <c r="B36" s="115" t="s">
        <v>182</v>
      </c>
      <c r="C36" s="249">
        <f>'Custo por trabalhador'!B141</f>
        <v>0.01</v>
      </c>
      <c r="D36" s="135">
        <f t="shared" si="0"/>
        <v>34.00772380092593</v>
      </c>
    </row>
    <row r="37" spans="1:4" ht="16.2" thickBot="1" x14ac:dyDescent="0.35">
      <c r="A37" s="114" t="s">
        <v>165</v>
      </c>
      <c r="B37" s="115" t="s">
        <v>25</v>
      </c>
      <c r="C37" s="249">
        <f>'Custo por trabalhador'!B142</f>
        <v>6.0000000000000001E-3</v>
      </c>
      <c r="D37" s="135">
        <f t="shared" si="0"/>
        <v>20.404634280555559</v>
      </c>
    </row>
    <row r="38" spans="1:4" ht="16.2" thickBot="1" x14ac:dyDescent="0.35">
      <c r="A38" s="114" t="s">
        <v>166</v>
      </c>
      <c r="B38" s="115" t="s">
        <v>26</v>
      </c>
      <c r="C38" s="249">
        <f>'Custo por trabalhador'!B143</f>
        <v>2E-3</v>
      </c>
      <c r="D38" s="135">
        <f t="shared" si="0"/>
        <v>6.8015447601851857</v>
      </c>
    </row>
    <row r="39" spans="1:4" ht="16.2" thickBot="1" x14ac:dyDescent="0.35">
      <c r="A39" s="114" t="s">
        <v>183</v>
      </c>
      <c r="B39" s="115" t="s">
        <v>27</v>
      </c>
      <c r="C39" s="249">
        <f>'Custo por trabalhador'!B144</f>
        <v>0.08</v>
      </c>
      <c r="D39" s="135">
        <f t="shared" si="0"/>
        <v>272.06179040740744</v>
      </c>
    </row>
    <row r="40" spans="1:4" ht="16.2" thickBot="1" x14ac:dyDescent="0.35">
      <c r="A40" s="425" t="s">
        <v>184</v>
      </c>
      <c r="B40" s="426"/>
      <c r="C40" s="146">
        <f>'Custo por trabalhador'!B145</f>
        <v>0.39800000000000008</v>
      </c>
      <c r="D40" s="139">
        <f>SUM(D32:D39)</f>
        <v>1353.5074072768518</v>
      </c>
    </row>
    <row r="41" spans="1:4" ht="15.6" x14ac:dyDescent="0.3">
      <c r="A41" s="120"/>
      <c r="B41" s="120"/>
      <c r="C41" s="120"/>
      <c r="D41" s="120"/>
    </row>
    <row r="42" spans="1:4" ht="15.6" x14ac:dyDescent="0.3">
      <c r="A42" s="424" t="s">
        <v>185</v>
      </c>
      <c r="B42" s="424"/>
      <c r="C42" s="424"/>
      <c r="D42" s="120"/>
    </row>
    <row r="43" spans="1:4" ht="16.2" thickBot="1" x14ac:dyDescent="0.35">
      <c r="A43" s="120"/>
      <c r="B43" s="120"/>
      <c r="C43" s="120"/>
      <c r="D43" s="120"/>
    </row>
    <row r="44" spans="1:4" ht="16.2" thickBot="1" x14ac:dyDescent="0.35">
      <c r="A44" s="112" t="s">
        <v>186</v>
      </c>
      <c r="B44" s="113" t="s">
        <v>187</v>
      </c>
      <c r="C44" s="113" t="s">
        <v>159</v>
      </c>
      <c r="D44" s="120"/>
    </row>
    <row r="45" spans="1:4" ht="16.2" thickBot="1" x14ac:dyDescent="0.35">
      <c r="A45" s="114" t="s">
        <v>160</v>
      </c>
      <c r="B45" s="115" t="str">
        <f>'Custo por trabalhador'!B279</f>
        <v>Vale Transporte - Cláusula 16ª CCT 2024/2026</v>
      </c>
      <c r="C45" s="135">
        <f>'Custo por trabalhador'!B283</f>
        <v>90.482100000000003</v>
      </c>
      <c r="D45" s="120"/>
    </row>
    <row r="46" spans="1:4" ht="16.2" thickBot="1" x14ac:dyDescent="0.35">
      <c r="A46" s="114" t="s">
        <v>161</v>
      </c>
      <c r="B46" s="115" t="str">
        <f>'Custo por trabalhador'!C279</f>
        <v>Vale Refeição - Cláusula 15ª CCT 2024/2026</v>
      </c>
      <c r="C46" s="135">
        <f>'Custo por trabalhador'!C283</f>
        <v>471.96069999999997</v>
      </c>
      <c r="D46" s="120"/>
    </row>
    <row r="47" spans="1:4" ht="16.2" thickBot="1" x14ac:dyDescent="0.35">
      <c r="A47" s="114" t="s">
        <v>162</v>
      </c>
      <c r="B47" s="115" t="str">
        <f>'Custo por trabalhador'!D279</f>
        <v xml:space="preserve"> Card Saúde- Abraps Bombank - Clausula 58º CCT 2024/2026</v>
      </c>
      <c r="C47" s="135">
        <f>'Custo por trabalhador'!D283</f>
        <v>83.88</v>
      </c>
      <c r="D47" s="120"/>
    </row>
    <row r="48" spans="1:4" ht="16.2" thickBot="1" x14ac:dyDescent="0.35">
      <c r="A48" s="114" t="s">
        <v>163</v>
      </c>
      <c r="B48" s="115" t="s">
        <v>167</v>
      </c>
      <c r="C48" s="135">
        <f>'Custo por trabalhador'!E283</f>
        <v>0</v>
      </c>
      <c r="D48" s="120"/>
    </row>
    <row r="49" spans="1:4" ht="16.2" thickBot="1" x14ac:dyDescent="0.35">
      <c r="A49" s="425" t="s">
        <v>12</v>
      </c>
      <c r="B49" s="426"/>
      <c r="C49" s="139">
        <f>SUM(C45:C48)</f>
        <v>646.32280000000003</v>
      </c>
      <c r="D49" s="120"/>
    </row>
    <row r="50" spans="1:4" ht="15.6" x14ac:dyDescent="0.3">
      <c r="A50" s="120"/>
      <c r="B50" s="120"/>
      <c r="C50" s="120"/>
      <c r="D50" s="120"/>
    </row>
    <row r="51" spans="1:4" ht="15.6" x14ac:dyDescent="0.3">
      <c r="A51" s="424" t="s">
        <v>188</v>
      </c>
      <c r="B51" s="424"/>
      <c r="C51" s="424"/>
      <c r="D51" s="120"/>
    </row>
    <row r="52" spans="1:4" ht="16.2" thickBot="1" x14ac:dyDescent="0.35">
      <c r="A52" s="120"/>
      <c r="B52" s="120"/>
      <c r="C52" s="120"/>
      <c r="D52" s="120"/>
    </row>
    <row r="53" spans="1:4" ht="16.2" thickBot="1" x14ac:dyDescent="0.35">
      <c r="A53" s="112">
        <v>2</v>
      </c>
      <c r="B53" s="113" t="s">
        <v>189</v>
      </c>
      <c r="C53" s="113" t="s">
        <v>159</v>
      </c>
      <c r="D53" s="120"/>
    </row>
    <row r="54" spans="1:4" ht="16.2" thickBot="1" x14ac:dyDescent="0.35">
      <c r="A54" s="114" t="s">
        <v>170</v>
      </c>
      <c r="B54" s="115" t="s">
        <v>171</v>
      </c>
      <c r="C54" s="135">
        <f>'Custo por trabalhador'!B296</f>
        <v>527.04612175925922</v>
      </c>
      <c r="D54" s="120"/>
    </row>
    <row r="55" spans="1:4" ht="16.2" thickBot="1" x14ac:dyDescent="0.35">
      <c r="A55" s="114" t="s">
        <v>175</v>
      </c>
      <c r="B55" s="115" t="s">
        <v>176</v>
      </c>
      <c r="C55" s="135">
        <f>'Custo por trabalhador'!C296</f>
        <v>1353.5074072768521</v>
      </c>
      <c r="D55" s="120"/>
    </row>
    <row r="56" spans="1:4" ht="16.2" thickBot="1" x14ac:dyDescent="0.35">
      <c r="A56" s="114" t="s">
        <v>186</v>
      </c>
      <c r="B56" s="115" t="s">
        <v>187</v>
      </c>
      <c r="C56" s="135">
        <f>'Custo por trabalhador'!D296</f>
        <v>646.32280000000003</v>
      </c>
      <c r="D56" s="120"/>
    </row>
    <row r="57" spans="1:4" ht="16.2" thickBot="1" x14ac:dyDescent="0.35">
      <c r="A57" s="425" t="s">
        <v>12</v>
      </c>
      <c r="B57" s="426"/>
      <c r="C57" s="139">
        <f>SUM(C54:C56)</f>
        <v>2526.8763290361112</v>
      </c>
      <c r="D57" s="120"/>
    </row>
    <row r="58" spans="1:4" ht="15.6" x14ac:dyDescent="0.3">
      <c r="A58" s="120"/>
      <c r="B58" s="120"/>
      <c r="C58" s="120"/>
      <c r="D58" s="120"/>
    </row>
    <row r="59" spans="1:4" ht="15.6" x14ac:dyDescent="0.3">
      <c r="A59" s="413" t="s">
        <v>190</v>
      </c>
      <c r="B59" s="413"/>
      <c r="C59" s="413"/>
      <c r="D59" s="120"/>
    </row>
    <row r="60" spans="1:4" ht="16.2" thickBot="1" x14ac:dyDescent="0.35">
      <c r="A60" s="120"/>
      <c r="B60" s="120"/>
      <c r="C60" s="120"/>
      <c r="D60" s="120"/>
    </row>
    <row r="61" spans="1:4" s="120" customFormat="1" ht="16.2" thickBot="1" x14ac:dyDescent="0.35">
      <c r="A61" s="133">
        <v>3</v>
      </c>
      <c r="B61" s="195" t="s">
        <v>191</v>
      </c>
      <c r="C61" s="195" t="s">
        <v>159</v>
      </c>
      <c r="D61" s="195" t="s">
        <v>159</v>
      </c>
    </row>
    <row r="62" spans="1:4" s="120" customFormat="1" ht="15.6" x14ac:dyDescent="0.3">
      <c r="A62" s="40" t="s">
        <v>160</v>
      </c>
      <c r="B62" s="199" t="s">
        <v>192</v>
      </c>
      <c r="C62" s="200"/>
      <c r="D62" s="201">
        <f>'Custo por trabalhador'!B342</f>
        <v>3400.7723800925928</v>
      </c>
    </row>
    <row r="63" spans="1:4" s="120" customFormat="1" ht="15.6" x14ac:dyDescent="0.3">
      <c r="A63" s="23" t="s">
        <v>161</v>
      </c>
      <c r="B63" s="197" t="s">
        <v>193</v>
      </c>
      <c r="C63" s="198">
        <v>0.08</v>
      </c>
      <c r="D63" s="202">
        <f>'Custo por trabalhador'!C342</f>
        <v>272.06179040740744</v>
      </c>
    </row>
    <row r="64" spans="1:4" s="120" customFormat="1" ht="16.2" thickBot="1" x14ac:dyDescent="0.35">
      <c r="A64" s="24" t="s">
        <v>162</v>
      </c>
      <c r="B64" s="203" t="s">
        <v>194</v>
      </c>
      <c r="C64" s="221">
        <v>0.4</v>
      </c>
      <c r="D64" s="204">
        <f>'Custo por trabalhador'!D342</f>
        <v>108.82471616296299</v>
      </c>
    </row>
    <row r="65" spans="1:4" s="120" customFormat="1" ht="16.2" thickBot="1" x14ac:dyDescent="0.35">
      <c r="A65" s="208"/>
      <c r="B65" s="209" t="s">
        <v>253</v>
      </c>
      <c r="C65" s="225">
        <f>'Custo por trabalhador'!B307</f>
        <v>4.1999999999999997E-3</v>
      </c>
      <c r="D65" s="211">
        <f>'Custo por trabalhador'!F342</f>
        <v>15.882967323984444</v>
      </c>
    </row>
    <row r="66" spans="1:4" s="120" customFormat="1" ht="15.6" x14ac:dyDescent="0.3">
      <c r="A66" s="222" t="s">
        <v>163</v>
      </c>
      <c r="B66" s="223" t="s">
        <v>195</v>
      </c>
      <c r="C66" s="224"/>
      <c r="D66" s="201">
        <f>'Custo por trabalhador'!B377</f>
        <v>4047.0951800925927</v>
      </c>
    </row>
    <row r="67" spans="1:4" s="120" customFormat="1" ht="15.6" x14ac:dyDescent="0.3">
      <c r="A67" s="196" t="s">
        <v>164</v>
      </c>
      <c r="B67" s="197" t="s">
        <v>196</v>
      </c>
      <c r="C67" s="205">
        <f>C40</f>
        <v>0.39800000000000008</v>
      </c>
      <c r="D67" s="202">
        <f>'Custo por trabalhador'!C377</f>
        <v>1353.5074072768521</v>
      </c>
    </row>
    <row r="68" spans="1:4" s="120" customFormat="1" ht="16.2" thickBot="1" x14ac:dyDescent="0.35">
      <c r="A68" s="206" t="s">
        <v>165</v>
      </c>
      <c r="B68" s="203" t="s">
        <v>197</v>
      </c>
      <c r="C68" s="207">
        <v>0.4</v>
      </c>
      <c r="D68" s="204">
        <f>'Custo por trabalhador'!D377</f>
        <v>108.82471616296299</v>
      </c>
    </row>
    <row r="69" spans="1:4" s="120" customFormat="1" ht="16.2" thickBot="1" x14ac:dyDescent="0.35">
      <c r="A69" s="155"/>
      <c r="B69" s="209" t="s">
        <v>254</v>
      </c>
      <c r="C69" s="210">
        <f>'Custo por trabalhador'!B308</f>
        <v>1.9400000000000001E-2</v>
      </c>
      <c r="D69" s="211">
        <f>'Custo por trabalhador'!F377</f>
        <v>106.88288968852873</v>
      </c>
    </row>
    <row r="70" spans="1:4" s="120" customFormat="1" ht="16.2" thickBot="1" x14ac:dyDescent="0.35">
      <c r="A70" s="431" t="s">
        <v>12</v>
      </c>
      <c r="B70" s="432"/>
      <c r="C70" s="139"/>
      <c r="D70" s="139">
        <f>'Custo por trabalhador'!E414</f>
        <v>122.76585701251318</v>
      </c>
    </row>
    <row r="71" spans="1:4" ht="15.6" x14ac:dyDescent="0.3">
      <c r="A71" s="120"/>
      <c r="B71" s="120"/>
      <c r="C71" s="120"/>
      <c r="D71" s="120"/>
    </row>
    <row r="72" spans="1:4" ht="15.6" x14ac:dyDescent="0.3">
      <c r="A72" s="413" t="s">
        <v>198</v>
      </c>
      <c r="B72" s="413"/>
      <c r="C72" s="413"/>
      <c r="D72" s="120"/>
    </row>
    <row r="73" spans="1:4" ht="15.6" x14ac:dyDescent="0.3">
      <c r="A73" s="120"/>
      <c r="B73" s="120"/>
      <c r="C73" s="120"/>
      <c r="D73" s="120"/>
    </row>
    <row r="74" spans="1:4" ht="15.6" x14ac:dyDescent="0.3">
      <c r="A74" s="424" t="s">
        <v>199</v>
      </c>
      <c r="B74" s="424"/>
      <c r="C74" s="424"/>
      <c r="D74" s="120"/>
    </row>
    <row r="75" spans="1:4" ht="16.2" thickBot="1" x14ac:dyDescent="0.35">
      <c r="A75" s="28"/>
      <c r="B75" s="120"/>
      <c r="C75" s="120"/>
      <c r="D75" s="120"/>
    </row>
    <row r="76" spans="1:4" ht="16.2" thickBot="1" x14ac:dyDescent="0.35">
      <c r="A76" s="112" t="s">
        <v>200</v>
      </c>
      <c r="B76" s="113" t="s">
        <v>201</v>
      </c>
      <c r="C76" s="113" t="s">
        <v>159</v>
      </c>
      <c r="D76" s="120"/>
    </row>
    <row r="77" spans="1:4" ht="16.2" thickBot="1" x14ac:dyDescent="0.35">
      <c r="A77" s="114" t="s">
        <v>160</v>
      </c>
      <c r="B77" s="115" t="s">
        <v>201</v>
      </c>
      <c r="C77" s="135">
        <f>'Custo por trabalhador'!B499</f>
        <v>309.05471136384938</v>
      </c>
      <c r="D77" s="120"/>
    </row>
    <row r="78" spans="1:4" ht="16.2" thickBot="1" x14ac:dyDescent="0.35">
      <c r="A78" s="425" t="s">
        <v>184</v>
      </c>
      <c r="B78" s="426"/>
      <c r="C78" s="139">
        <f>SUM(C77:C77)</f>
        <v>309.05471136384938</v>
      </c>
      <c r="D78" s="120"/>
    </row>
    <row r="79" spans="1:4" ht="15.6" x14ac:dyDescent="0.3">
      <c r="A79" s="120"/>
      <c r="B79" s="120"/>
      <c r="C79" s="120"/>
      <c r="D79" s="120"/>
    </row>
    <row r="80" spans="1:4" ht="15.6" x14ac:dyDescent="0.3">
      <c r="A80" s="424" t="s">
        <v>202</v>
      </c>
      <c r="B80" s="424"/>
      <c r="C80" s="424"/>
      <c r="D80" s="120"/>
    </row>
    <row r="81" spans="1:4" ht="16.2" thickBot="1" x14ac:dyDescent="0.35">
      <c r="A81" s="28"/>
      <c r="B81" s="120"/>
      <c r="C81" s="120"/>
      <c r="D81" s="120"/>
    </row>
    <row r="82" spans="1:4" ht="16.2" thickBot="1" x14ac:dyDescent="0.35">
      <c r="A82" s="112" t="s">
        <v>203</v>
      </c>
      <c r="B82" s="113" t="s">
        <v>204</v>
      </c>
      <c r="C82" s="113" t="s">
        <v>159</v>
      </c>
      <c r="D82" s="120"/>
    </row>
    <row r="83" spans="1:4" ht="16.2" thickBot="1" x14ac:dyDescent="0.35">
      <c r="A83" s="114" t="s">
        <v>160</v>
      </c>
      <c r="B83" s="115" t="s">
        <v>227</v>
      </c>
      <c r="C83" s="135">
        <f>'Custo por trabalhador'!C499</f>
        <v>355.4495988098937</v>
      </c>
      <c r="D83" s="120"/>
    </row>
    <row r="84" spans="1:4" ht="16.2" thickBot="1" x14ac:dyDescent="0.35">
      <c r="A84" s="425" t="s">
        <v>12</v>
      </c>
      <c r="B84" s="426"/>
      <c r="C84" s="139">
        <f>SUM(C83)</f>
        <v>355.4495988098937</v>
      </c>
      <c r="D84" s="120"/>
    </row>
    <row r="85" spans="1:4" ht="15.6" x14ac:dyDescent="0.3">
      <c r="A85" s="120"/>
      <c r="B85" s="120"/>
      <c r="C85" s="120"/>
      <c r="D85" s="120"/>
    </row>
    <row r="86" spans="1:4" ht="15.6" x14ac:dyDescent="0.3">
      <c r="A86" s="424" t="s">
        <v>205</v>
      </c>
      <c r="B86" s="424"/>
      <c r="C86" s="424"/>
      <c r="D86" s="120"/>
    </row>
    <row r="87" spans="1:4" ht="16.2" thickBot="1" x14ac:dyDescent="0.35">
      <c r="A87" s="28"/>
      <c r="B87" s="120"/>
      <c r="C87" s="120"/>
      <c r="D87" s="120"/>
    </row>
    <row r="88" spans="1:4" ht="16.2" thickBot="1" x14ac:dyDescent="0.35">
      <c r="A88" s="112">
        <v>4</v>
      </c>
      <c r="B88" s="113" t="s">
        <v>206</v>
      </c>
      <c r="C88" s="113" t="s">
        <v>159</v>
      </c>
      <c r="D88" s="120"/>
    </row>
    <row r="89" spans="1:4" ht="16.2" thickBot="1" x14ac:dyDescent="0.35">
      <c r="A89" s="114" t="s">
        <v>200</v>
      </c>
      <c r="B89" s="115" t="s">
        <v>201</v>
      </c>
      <c r="C89" s="136">
        <f>C78</f>
        <v>309.05471136384938</v>
      </c>
      <c r="D89" s="120"/>
    </row>
    <row r="90" spans="1:4" ht="16.2" thickBot="1" x14ac:dyDescent="0.35">
      <c r="A90" s="114" t="s">
        <v>203</v>
      </c>
      <c r="B90" s="115" t="s">
        <v>204</v>
      </c>
      <c r="C90" s="136">
        <f>C84</f>
        <v>355.4495988098937</v>
      </c>
      <c r="D90" s="120"/>
    </row>
    <row r="91" spans="1:4" ht="16.2" thickBot="1" x14ac:dyDescent="0.35">
      <c r="A91" s="425" t="s">
        <v>12</v>
      </c>
      <c r="B91" s="426"/>
      <c r="C91" s="137">
        <f>SUM(C89:C90)</f>
        <v>664.50431017374308</v>
      </c>
      <c r="D91" s="120"/>
    </row>
    <row r="92" spans="1:4" ht="15.6" x14ac:dyDescent="0.3">
      <c r="A92" s="120"/>
      <c r="B92" s="120"/>
      <c r="C92" s="120"/>
      <c r="D92" s="120"/>
    </row>
    <row r="93" spans="1:4" ht="15.6" x14ac:dyDescent="0.3">
      <c r="A93" s="413" t="s">
        <v>207</v>
      </c>
      <c r="B93" s="413"/>
      <c r="C93" s="413"/>
      <c r="D93" s="120"/>
    </row>
    <row r="94" spans="1:4" ht="16.2" thickBot="1" x14ac:dyDescent="0.35">
      <c r="A94" s="120"/>
      <c r="B94" s="120"/>
      <c r="C94" s="120"/>
      <c r="D94" s="120"/>
    </row>
    <row r="95" spans="1:4" ht="16.2" thickBot="1" x14ac:dyDescent="0.35">
      <c r="A95" s="112">
        <v>5</v>
      </c>
      <c r="B95" s="119" t="s">
        <v>120</v>
      </c>
      <c r="C95" s="113" t="s">
        <v>159</v>
      </c>
      <c r="D95" s="120"/>
    </row>
    <row r="96" spans="1:4" ht="16.2" thickBot="1" x14ac:dyDescent="0.35">
      <c r="A96" s="114" t="s">
        <v>160</v>
      </c>
      <c r="B96" s="115" t="s">
        <v>208</v>
      </c>
      <c r="C96" s="135">
        <f>'Custo por trabalhador'!B592</f>
        <v>256.16666666666669</v>
      </c>
      <c r="D96" s="120"/>
    </row>
    <row r="97" spans="1:4" ht="16.2" thickBot="1" x14ac:dyDescent="0.35">
      <c r="A97" s="114" t="s">
        <v>161</v>
      </c>
      <c r="B97" s="115" t="s">
        <v>209</v>
      </c>
      <c r="C97" s="135">
        <f>'Custo por trabalhador'!C592</f>
        <v>1564.3675000000001</v>
      </c>
      <c r="D97" s="120"/>
    </row>
    <row r="98" spans="1:4" ht="16.2" thickBot="1" x14ac:dyDescent="0.35">
      <c r="A98" s="114" t="s">
        <v>162</v>
      </c>
      <c r="B98" s="115" t="s">
        <v>210</v>
      </c>
      <c r="C98" s="135">
        <f>'Custo por trabalhador'!D592</f>
        <v>154.17070833333332</v>
      </c>
      <c r="D98" s="120"/>
    </row>
    <row r="99" spans="1:4" ht="16.2" thickBot="1" x14ac:dyDescent="0.35">
      <c r="A99" s="114" t="s">
        <v>163</v>
      </c>
      <c r="B99" s="115" t="s">
        <v>258</v>
      </c>
      <c r="C99" s="135"/>
      <c r="D99" s="120"/>
    </row>
    <row r="100" spans="1:4" ht="16.2" thickBot="1" x14ac:dyDescent="0.35">
      <c r="A100" s="425" t="s">
        <v>184</v>
      </c>
      <c r="B100" s="426"/>
      <c r="C100" s="137">
        <f>SUM(C96:C99)</f>
        <v>1974.7048750000001</v>
      </c>
      <c r="D100" s="120"/>
    </row>
    <row r="101" spans="1:4" ht="15.6" x14ac:dyDescent="0.3">
      <c r="A101" s="120"/>
      <c r="B101" s="120"/>
      <c r="C101" s="120"/>
      <c r="D101" s="120"/>
    </row>
    <row r="102" spans="1:4" ht="15.6" x14ac:dyDescent="0.3">
      <c r="A102" s="413" t="s">
        <v>211</v>
      </c>
      <c r="B102" s="413"/>
      <c r="C102" s="413"/>
      <c r="D102" s="120"/>
    </row>
    <row r="103" spans="1:4" ht="16.2" thickBot="1" x14ac:dyDescent="0.35">
      <c r="A103" s="120"/>
      <c r="B103" s="120"/>
      <c r="C103" s="120"/>
      <c r="D103" s="120"/>
    </row>
    <row r="104" spans="1:4" ht="16.2" thickBot="1" x14ac:dyDescent="0.35">
      <c r="A104" s="112">
        <v>6</v>
      </c>
      <c r="B104" s="119" t="s">
        <v>121</v>
      </c>
      <c r="C104" s="113" t="s">
        <v>177</v>
      </c>
      <c r="D104" s="113" t="s">
        <v>159</v>
      </c>
    </row>
    <row r="105" spans="1:4" ht="16.2" thickBot="1" x14ac:dyDescent="0.35">
      <c r="A105" s="114" t="s">
        <v>160</v>
      </c>
      <c r="B105" s="115" t="s">
        <v>138</v>
      </c>
      <c r="C105" s="117">
        <f>'Custo por trabalhador'!B601</f>
        <v>0.03</v>
      </c>
      <c r="D105" s="116"/>
    </row>
    <row r="106" spans="1:4" ht="16.2" thickBot="1" x14ac:dyDescent="0.35">
      <c r="A106" s="114" t="s">
        <v>161</v>
      </c>
      <c r="B106" s="115" t="s">
        <v>140</v>
      </c>
      <c r="C106" s="117">
        <f>'Custo por trabalhador'!B603</f>
        <v>3.2599999999999997E-2</v>
      </c>
      <c r="D106" s="116"/>
    </row>
    <row r="107" spans="1:4" ht="16.2" thickBot="1" x14ac:dyDescent="0.35">
      <c r="A107" s="114" t="s">
        <v>162</v>
      </c>
      <c r="B107" s="115" t="s">
        <v>139</v>
      </c>
      <c r="C107" s="117">
        <f>'Custo por trabalhador'!B602</f>
        <v>8.6499999999999994E-2</v>
      </c>
      <c r="D107" s="116"/>
    </row>
    <row r="108" spans="1:4" ht="16.2" thickBot="1" x14ac:dyDescent="0.35">
      <c r="A108" s="114"/>
      <c r="B108" s="115" t="s">
        <v>212</v>
      </c>
      <c r="C108" s="116"/>
      <c r="D108" s="116"/>
    </row>
    <row r="109" spans="1:4" ht="16.2" thickBot="1" x14ac:dyDescent="0.35">
      <c r="A109" s="114"/>
      <c r="B109" s="115" t="s">
        <v>213</v>
      </c>
      <c r="C109" s="116"/>
      <c r="D109" s="116"/>
    </row>
    <row r="110" spans="1:4" ht="16.2" thickBot="1" x14ac:dyDescent="0.35">
      <c r="A110" s="114"/>
      <c r="B110" s="115" t="s">
        <v>214</v>
      </c>
      <c r="C110" s="116"/>
      <c r="D110" s="116"/>
    </row>
    <row r="111" spans="1:4" ht="16.2" thickBot="1" x14ac:dyDescent="0.35">
      <c r="A111" s="425" t="s">
        <v>184</v>
      </c>
      <c r="B111" s="426"/>
      <c r="C111" s="146">
        <f>'Custo por trabalhador'!C608</f>
        <v>0.16925871268021342</v>
      </c>
      <c r="D111" s="139">
        <f>'Custo por trabalhador'!D610</f>
        <v>1073.4461122905609</v>
      </c>
    </row>
    <row r="112" spans="1:4" ht="16.2" thickBot="1" x14ac:dyDescent="0.35">
      <c r="A112" s="120"/>
      <c r="B112" s="120"/>
      <c r="C112" s="120"/>
      <c r="D112" s="120"/>
    </row>
    <row r="113" spans="1:5" s="120" customFormat="1" ht="16.2" thickBot="1" x14ac:dyDescent="0.35">
      <c r="A113" s="373" t="s">
        <v>255</v>
      </c>
      <c r="B113" s="374"/>
      <c r="C113" s="375"/>
    </row>
    <row r="114" spans="1:5" s="120" customFormat="1" ht="16.2" thickBot="1" x14ac:dyDescent="0.35">
      <c r="A114" s="215" t="s">
        <v>160</v>
      </c>
      <c r="B114" s="216" t="s">
        <v>256</v>
      </c>
      <c r="C114" s="217">
        <f>'Custo por trabalhador'!D622</f>
        <v>146.39816568716768</v>
      </c>
    </row>
    <row r="115" spans="1:5" ht="15.6" x14ac:dyDescent="0.3">
      <c r="A115" s="120"/>
      <c r="B115" s="120"/>
      <c r="C115" s="120"/>
      <c r="D115" s="120"/>
    </row>
    <row r="116" spans="1:5" ht="15.6" x14ac:dyDescent="0.3">
      <c r="A116" s="413" t="s">
        <v>215</v>
      </c>
      <c r="B116" s="413"/>
      <c r="C116" s="413"/>
      <c r="D116" s="120"/>
    </row>
    <row r="117" spans="1:5" ht="16.2" thickBot="1" x14ac:dyDescent="0.35">
      <c r="A117" s="120"/>
      <c r="B117" s="120"/>
      <c r="C117" s="120"/>
      <c r="D117" s="120"/>
    </row>
    <row r="118" spans="1:5" ht="16.2" thickBot="1" x14ac:dyDescent="0.35">
      <c r="A118" s="112"/>
      <c r="B118" s="113" t="s">
        <v>216</v>
      </c>
      <c r="C118" s="113" t="s">
        <v>159</v>
      </c>
      <c r="D118" s="120"/>
    </row>
    <row r="119" spans="1:5" ht="16.2" thickBot="1" x14ac:dyDescent="0.35">
      <c r="A119" s="121" t="s">
        <v>160</v>
      </c>
      <c r="B119" s="115" t="s">
        <v>157</v>
      </c>
      <c r="C119" s="140">
        <f>'Custo por trabalhador'!E629</f>
        <v>2873.7262583333336</v>
      </c>
      <c r="D119" s="120"/>
    </row>
    <row r="120" spans="1:5" ht="16.2" thickBot="1" x14ac:dyDescent="0.35">
      <c r="A120" s="121" t="s">
        <v>161</v>
      </c>
      <c r="B120" s="115" t="s">
        <v>168</v>
      </c>
      <c r="C120" s="140">
        <f>'Custo por trabalhador'!E630</f>
        <v>2526.8763290361112</v>
      </c>
      <c r="D120" s="120"/>
    </row>
    <row r="121" spans="1:5" ht="16.2" thickBot="1" x14ac:dyDescent="0.35">
      <c r="A121" s="121" t="s">
        <v>162</v>
      </c>
      <c r="B121" s="115" t="s">
        <v>190</v>
      </c>
      <c r="C121" s="140">
        <f>'Custo por trabalhador'!E631</f>
        <v>122.76585701251318</v>
      </c>
      <c r="D121" s="120"/>
    </row>
    <row r="122" spans="1:5" ht="16.2" thickBot="1" x14ac:dyDescent="0.35">
      <c r="A122" s="121" t="s">
        <v>163</v>
      </c>
      <c r="B122" s="115" t="s">
        <v>198</v>
      </c>
      <c r="C122" s="140">
        <f>'Custo por trabalhador'!E632</f>
        <v>664.50431017374308</v>
      </c>
      <c r="D122" s="120"/>
    </row>
    <row r="123" spans="1:5" ht="16.2" thickBot="1" x14ac:dyDescent="0.35">
      <c r="A123" s="121" t="s">
        <v>164</v>
      </c>
      <c r="B123" s="115" t="s">
        <v>207</v>
      </c>
      <c r="C123" s="140">
        <f>'Custo por trabalhador'!E633</f>
        <v>1974.7048750000001</v>
      </c>
      <c r="D123" s="120"/>
    </row>
    <row r="124" spans="1:5" ht="16.5" customHeight="1" thickBot="1" x14ac:dyDescent="0.35">
      <c r="A124" s="425" t="s">
        <v>217</v>
      </c>
      <c r="B124" s="426"/>
      <c r="C124" s="141">
        <f>ROUND(SUM(C119:C123),(2))</f>
        <v>8162.58</v>
      </c>
      <c r="D124" s="120"/>
    </row>
    <row r="125" spans="1:5" ht="16.2" thickBot="1" x14ac:dyDescent="0.35">
      <c r="A125" s="121" t="s">
        <v>165</v>
      </c>
      <c r="B125" s="115" t="s">
        <v>218</v>
      </c>
      <c r="C125" s="142">
        <f>'Custo por trabalhador'!E634</f>
        <v>1073.4461122905609</v>
      </c>
      <c r="D125" s="120"/>
    </row>
    <row r="126" spans="1:5" s="120" customFormat="1" ht="16.2" thickBot="1" x14ac:dyDescent="0.35">
      <c r="A126" s="133" t="s">
        <v>166</v>
      </c>
      <c r="B126" s="134" t="s">
        <v>256</v>
      </c>
      <c r="C126" s="142">
        <f>'Custo por trabalhador'!E635</f>
        <v>146.39816568716768</v>
      </c>
    </row>
    <row r="127" spans="1:5" s="120" customFormat="1" ht="16.2" thickBot="1" x14ac:dyDescent="0.35">
      <c r="A127" s="418" t="s">
        <v>219</v>
      </c>
      <c r="B127" s="419"/>
      <c r="C127" s="147">
        <f>ROUND(SUM(C119:C123,C125:C126),(2))</f>
        <v>9382.42</v>
      </c>
      <c r="E127" s="143"/>
    </row>
    <row r="128" spans="1:5" s="120" customFormat="1" ht="16.2" customHeight="1" thickBot="1" x14ac:dyDescent="0.35">
      <c r="A128" s="425" t="s">
        <v>240</v>
      </c>
      <c r="B128" s="426"/>
      <c r="C128" s="147">
        <f>ROUND((C127),(2))*2</f>
        <v>18764.84</v>
      </c>
    </row>
  </sheetData>
  <mergeCells count="34">
    <mergeCell ref="A20:C20"/>
    <mergeCell ref="A1:D1"/>
    <mergeCell ref="A2:D2"/>
    <mergeCell ref="A3:D3"/>
    <mergeCell ref="A8:C8"/>
    <mergeCell ref="A18:B18"/>
    <mergeCell ref="A5:C5"/>
    <mergeCell ref="A6:C6"/>
    <mergeCell ref="A113:C113"/>
    <mergeCell ref="A91:B91"/>
    <mergeCell ref="A93:C93"/>
    <mergeCell ref="A22:C22"/>
    <mergeCell ref="A27:B27"/>
    <mergeCell ref="A72:C72"/>
    <mergeCell ref="A74:C74"/>
    <mergeCell ref="A78:B78"/>
    <mergeCell ref="A80:C80"/>
    <mergeCell ref="A84:B84"/>
    <mergeCell ref="A128:B128"/>
    <mergeCell ref="A111:B111"/>
    <mergeCell ref="A116:C116"/>
    <mergeCell ref="A124:B124"/>
    <mergeCell ref="A29:D29"/>
    <mergeCell ref="A40:B40"/>
    <mergeCell ref="A86:C86"/>
    <mergeCell ref="A100:B100"/>
    <mergeCell ref="A102:C102"/>
    <mergeCell ref="A70:B70"/>
    <mergeCell ref="A127:B127"/>
    <mergeCell ref="A42:C42"/>
    <mergeCell ref="A49:B49"/>
    <mergeCell ref="A51:C51"/>
    <mergeCell ref="A57:B57"/>
    <mergeCell ref="A59:C59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28"/>
  <sheetViews>
    <sheetView zoomScale="115" zoomScaleNormal="115" workbookViewId="0">
      <selection activeCell="C129" sqref="C129"/>
    </sheetView>
  </sheetViews>
  <sheetFormatPr defaultRowHeight="14.4" x14ac:dyDescent="0.3"/>
  <cols>
    <col min="2" max="2" width="76.5546875" customWidth="1"/>
    <col min="3" max="3" width="18" customWidth="1"/>
    <col min="4" max="4" width="14.33203125" customWidth="1"/>
  </cols>
  <sheetData>
    <row r="1" spans="1:5" ht="22.8" x14ac:dyDescent="0.4">
      <c r="A1" s="394" t="s">
        <v>220</v>
      </c>
      <c r="B1" s="394"/>
      <c r="C1" s="394"/>
      <c r="D1" s="394"/>
    </row>
    <row r="2" spans="1:5" ht="22.8" x14ac:dyDescent="0.4">
      <c r="A2" s="394" t="s">
        <v>232</v>
      </c>
      <c r="B2" s="394"/>
      <c r="C2" s="394"/>
      <c r="D2" s="394"/>
    </row>
    <row r="3" spans="1:5" ht="15.6" x14ac:dyDescent="0.3">
      <c r="A3" s="423" t="s">
        <v>226</v>
      </c>
      <c r="B3" s="423"/>
      <c r="C3" s="423"/>
      <c r="D3" s="423"/>
    </row>
    <row r="4" spans="1:5" ht="16.2" thickBot="1" x14ac:dyDescent="0.35">
      <c r="A4" s="145"/>
      <c r="B4" s="145"/>
      <c r="C4" s="145"/>
      <c r="D4" s="145"/>
    </row>
    <row r="5" spans="1:5" ht="16.2" thickBot="1" x14ac:dyDescent="0.35">
      <c r="A5" s="435" t="s">
        <v>241</v>
      </c>
      <c r="B5" s="436"/>
      <c r="C5" s="437"/>
      <c r="D5" s="145"/>
    </row>
    <row r="6" spans="1:5" ht="15.6" customHeight="1" thickBot="1" x14ac:dyDescent="0.35">
      <c r="A6" s="438" t="s">
        <v>231</v>
      </c>
      <c r="B6" s="439"/>
      <c r="C6" s="440"/>
      <c r="D6" s="145"/>
    </row>
    <row r="7" spans="1:5" ht="15.6" x14ac:dyDescent="0.3">
      <c r="A7" s="120"/>
      <c r="B7" s="120"/>
      <c r="C7" s="120"/>
      <c r="D7" s="120"/>
    </row>
    <row r="8" spans="1:5" ht="15.6" x14ac:dyDescent="0.3">
      <c r="A8" s="413" t="s">
        <v>157</v>
      </c>
      <c r="B8" s="413"/>
      <c r="C8" s="413"/>
      <c r="D8" s="120"/>
    </row>
    <row r="9" spans="1:5" ht="16.2" thickBot="1" x14ac:dyDescent="0.35">
      <c r="A9" s="120"/>
      <c r="B9" s="120"/>
      <c r="C9" s="120"/>
      <c r="D9" s="120"/>
    </row>
    <row r="10" spans="1:5" ht="16.2" thickBot="1" x14ac:dyDescent="0.35">
      <c r="A10" s="112">
        <v>1</v>
      </c>
      <c r="B10" s="113" t="s">
        <v>158</v>
      </c>
      <c r="C10" s="113" t="s">
        <v>159</v>
      </c>
      <c r="D10" s="120"/>
    </row>
    <row r="11" spans="1:5" ht="17.399999999999999" customHeight="1" thickBot="1" x14ac:dyDescent="0.35">
      <c r="A11" s="114" t="s">
        <v>160</v>
      </c>
      <c r="B11" s="115" t="str">
        <f>'Custo por trabalhador'!B74</f>
        <v>Salário Base - Cláusula 3ª, CCT 2024/2026</v>
      </c>
      <c r="C11" s="135">
        <f>'Custo por trabalhador'!B79</f>
        <v>1733.93</v>
      </c>
      <c r="D11" s="120"/>
    </row>
    <row r="12" spans="1:5" ht="17.399999999999999" customHeight="1" thickBot="1" x14ac:dyDescent="0.35">
      <c r="A12" s="114" t="s">
        <v>161</v>
      </c>
      <c r="B12" s="115" t="str">
        <f>'Custo por trabalhador'!C74</f>
        <v xml:space="preserve">Gratificação de Função e Adicional -  Cláusula 12ª CCT 2024/2026, § 1º, Alínea a </v>
      </c>
      <c r="C12" s="135">
        <f>'Custo por trabalhador'!C79</f>
        <v>0</v>
      </c>
      <c r="D12" s="120"/>
      <c r="E12" s="149"/>
    </row>
    <row r="13" spans="1:5" ht="16.2" thickBot="1" x14ac:dyDescent="0.35">
      <c r="A13" s="114" t="s">
        <v>162</v>
      </c>
      <c r="B13" s="115" t="str">
        <f>'Custo por trabalhador'!D74</f>
        <v xml:space="preserve">Gratificação de Função e Adicional -  Cláusula 12ª CCT 2024/2026, § 2º, Alínea a </v>
      </c>
      <c r="C13" s="135">
        <f>'Custo por trabalhador'!D79</f>
        <v>208.07159999999999</v>
      </c>
      <c r="D13" s="120"/>
    </row>
    <row r="14" spans="1:5" ht="16.2" thickBot="1" x14ac:dyDescent="0.35">
      <c r="A14" s="114" t="s">
        <v>163</v>
      </c>
      <c r="B14" s="115" t="str">
        <f>'Custo por trabalhador'!E74</f>
        <v>Adicional de   Periculosidade   - Cláusula 14º CCT 2024/2026</v>
      </c>
      <c r="C14" s="135">
        <f>'Custo por trabalhador'!E79</f>
        <v>520.17899999999997</v>
      </c>
      <c r="D14" s="120"/>
    </row>
    <row r="15" spans="1:5" ht="16.2" thickBot="1" x14ac:dyDescent="0.35">
      <c r="A15" s="114" t="s">
        <v>164</v>
      </c>
      <c r="B15" s="115" t="str">
        <f>'Custo por trabalhador'!F74</f>
        <v>Adicional Noturno - Cláusula 13ª CCT 2024/2026</v>
      </c>
      <c r="C15" s="135">
        <f>'Custo por trabalhador'!F79</f>
        <v>0</v>
      </c>
      <c r="D15" s="120"/>
    </row>
    <row r="16" spans="1:5" ht="16.2" thickBot="1" x14ac:dyDescent="0.35">
      <c r="A16" s="114" t="s">
        <v>165</v>
      </c>
      <c r="B16" s="115" t="str">
        <f>'Custo por trabalhador'!G74</f>
        <v>Adicional - Clausula 31º, § 4º - CCT 2024/2026</v>
      </c>
      <c r="C16" s="135">
        <f>'Custo por trabalhador'!G79</f>
        <v>30.737849999999995</v>
      </c>
      <c r="D16" s="120"/>
    </row>
    <row r="17" spans="1:4" ht="16.2" thickBot="1" x14ac:dyDescent="0.35">
      <c r="A17" s="114"/>
      <c r="B17" s="115"/>
      <c r="C17" s="135"/>
      <c r="D17" s="120"/>
    </row>
    <row r="18" spans="1:4" ht="16.2" thickBot="1" x14ac:dyDescent="0.35">
      <c r="A18" s="425" t="s">
        <v>12</v>
      </c>
      <c r="B18" s="426"/>
      <c r="C18" s="139">
        <f>SUM(C11:C17)</f>
        <v>2492.9184500000001</v>
      </c>
      <c r="D18" s="120"/>
    </row>
    <row r="19" spans="1:4" ht="15.6" x14ac:dyDescent="0.3">
      <c r="A19" s="120"/>
      <c r="B19" s="120"/>
      <c r="C19" s="120"/>
      <c r="D19" s="120"/>
    </row>
    <row r="20" spans="1:4" ht="15.6" x14ac:dyDescent="0.3">
      <c r="A20" s="413" t="s">
        <v>168</v>
      </c>
      <c r="B20" s="413"/>
      <c r="C20" s="413"/>
      <c r="D20" s="120"/>
    </row>
    <row r="21" spans="1:4" ht="15.6" x14ac:dyDescent="0.3">
      <c r="A21" s="28"/>
      <c r="B21" s="120"/>
      <c r="C21" s="120"/>
      <c r="D21" s="120"/>
    </row>
    <row r="22" spans="1:4" ht="15.6" x14ac:dyDescent="0.3">
      <c r="A22" s="424" t="s">
        <v>169</v>
      </c>
      <c r="B22" s="424"/>
      <c r="C22" s="424"/>
      <c r="D22" s="120"/>
    </row>
    <row r="23" spans="1:4" ht="16.2" thickBot="1" x14ac:dyDescent="0.35">
      <c r="A23" s="120"/>
      <c r="B23" s="120"/>
      <c r="C23" s="120"/>
      <c r="D23" s="120"/>
    </row>
    <row r="24" spans="1:4" ht="16.2" thickBot="1" x14ac:dyDescent="0.35">
      <c r="A24" s="112" t="s">
        <v>170</v>
      </c>
      <c r="B24" s="113" t="s">
        <v>171</v>
      </c>
      <c r="C24" s="113" t="s">
        <v>159</v>
      </c>
      <c r="D24" s="120"/>
    </row>
    <row r="25" spans="1:4" ht="16.2" thickBot="1" x14ac:dyDescent="0.35">
      <c r="A25" s="114" t="s">
        <v>160</v>
      </c>
      <c r="B25" s="115" t="s">
        <v>172</v>
      </c>
      <c r="C25" s="135">
        <f>'Custo por trabalhador'!B127</f>
        <v>207.74320416666666</v>
      </c>
      <c r="D25" s="120"/>
    </row>
    <row r="26" spans="1:4" ht="16.2" thickBot="1" x14ac:dyDescent="0.35">
      <c r="A26" s="114" t="s">
        <v>161</v>
      </c>
      <c r="B26" s="115" t="s">
        <v>173</v>
      </c>
      <c r="C26" s="135">
        <f>'Custo por trabalhador'!C127+'Custo por trabalhador'!D127</f>
        <v>276.99093888888888</v>
      </c>
      <c r="D26" s="120"/>
    </row>
    <row r="27" spans="1:4" ht="16.2" thickBot="1" x14ac:dyDescent="0.35">
      <c r="A27" s="425" t="s">
        <v>12</v>
      </c>
      <c r="B27" s="426"/>
      <c r="C27" s="137">
        <f>SUM(C25:C26)</f>
        <v>484.73414305555553</v>
      </c>
      <c r="D27" s="120"/>
    </row>
    <row r="28" spans="1:4" ht="15.6" x14ac:dyDescent="0.3">
      <c r="A28" s="120"/>
      <c r="B28" s="120"/>
      <c r="C28" s="120"/>
      <c r="D28" s="120"/>
    </row>
    <row r="29" spans="1:4" ht="15.75" customHeight="1" x14ac:dyDescent="0.3">
      <c r="A29" s="427" t="s">
        <v>174</v>
      </c>
      <c r="B29" s="427"/>
      <c r="C29" s="427"/>
      <c r="D29" s="427"/>
    </row>
    <row r="30" spans="1:4" ht="16.2" thickBot="1" x14ac:dyDescent="0.35">
      <c r="A30" s="120"/>
      <c r="B30" s="120"/>
      <c r="C30" s="120"/>
      <c r="D30" s="120"/>
    </row>
    <row r="31" spans="1:4" ht="16.2" thickBot="1" x14ac:dyDescent="0.35">
      <c r="A31" s="112" t="s">
        <v>175</v>
      </c>
      <c r="B31" s="113" t="s">
        <v>176</v>
      </c>
      <c r="C31" s="248" t="s">
        <v>177</v>
      </c>
      <c r="D31" s="113" t="s">
        <v>159</v>
      </c>
    </row>
    <row r="32" spans="1:4" ht="16.2" thickBot="1" x14ac:dyDescent="0.35">
      <c r="A32" s="114" t="s">
        <v>160</v>
      </c>
      <c r="B32" s="115" t="s">
        <v>178</v>
      </c>
      <c r="C32" s="249">
        <f>'Custo por trabalhador'!B137</f>
        <v>0.2</v>
      </c>
      <c r="D32" s="135">
        <f t="shared" ref="D32:D39" si="0">($C$18+$C$27)*C32</f>
        <v>595.53051861111123</v>
      </c>
    </row>
    <row r="33" spans="1:4" ht="16.2" thickBot="1" x14ac:dyDescent="0.35">
      <c r="A33" s="114" t="s">
        <v>161</v>
      </c>
      <c r="B33" s="115" t="s">
        <v>179</v>
      </c>
      <c r="C33" s="249">
        <f>'Custo por trabalhador'!B138</f>
        <v>2.5000000000000001E-2</v>
      </c>
      <c r="D33" s="135">
        <f t="shared" si="0"/>
        <v>74.441314826388904</v>
      </c>
    </row>
    <row r="34" spans="1:4" ht="16.2" thickBot="1" x14ac:dyDescent="0.35">
      <c r="A34" s="114" t="s">
        <v>162</v>
      </c>
      <c r="B34" s="115" t="s">
        <v>180</v>
      </c>
      <c r="C34" s="118">
        <f>'Custo por trabalhador'!B139</f>
        <v>0.06</v>
      </c>
      <c r="D34" s="135">
        <f t="shared" si="0"/>
        <v>178.65915558333333</v>
      </c>
    </row>
    <row r="35" spans="1:4" ht="16.2" thickBot="1" x14ac:dyDescent="0.35">
      <c r="A35" s="114" t="s">
        <v>163</v>
      </c>
      <c r="B35" s="115" t="s">
        <v>181</v>
      </c>
      <c r="C35" s="249">
        <f>'Custo por trabalhador'!B140</f>
        <v>1.4999999999999999E-2</v>
      </c>
      <c r="D35" s="135">
        <f t="shared" si="0"/>
        <v>44.664788895833333</v>
      </c>
    </row>
    <row r="36" spans="1:4" ht="16.2" thickBot="1" x14ac:dyDescent="0.35">
      <c r="A36" s="114" t="s">
        <v>164</v>
      </c>
      <c r="B36" s="115" t="s">
        <v>182</v>
      </c>
      <c r="C36" s="249">
        <f>'Custo por trabalhador'!B141</f>
        <v>0.01</v>
      </c>
      <c r="D36" s="135">
        <f t="shared" si="0"/>
        <v>29.776525930555557</v>
      </c>
    </row>
    <row r="37" spans="1:4" ht="16.2" thickBot="1" x14ac:dyDescent="0.35">
      <c r="A37" s="114" t="s">
        <v>165</v>
      </c>
      <c r="B37" s="115" t="s">
        <v>25</v>
      </c>
      <c r="C37" s="249">
        <f>'Custo por trabalhador'!B142</f>
        <v>6.0000000000000001E-3</v>
      </c>
      <c r="D37" s="135">
        <f t="shared" si="0"/>
        <v>17.865915558333334</v>
      </c>
    </row>
    <row r="38" spans="1:4" ht="16.2" thickBot="1" x14ac:dyDescent="0.35">
      <c r="A38" s="114" t="s">
        <v>166</v>
      </c>
      <c r="B38" s="115" t="s">
        <v>26</v>
      </c>
      <c r="C38" s="249">
        <f>'Custo por trabalhador'!B143</f>
        <v>2E-3</v>
      </c>
      <c r="D38" s="135">
        <f t="shared" si="0"/>
        <v>5.9553051861111115</v>
      </c>
    </row>
    <row r="39" spans="1:4" ht="16.2" thickBot="1" x14ac:dyDescent="0.35">
      <c r="A39" s="114" t="s">
        <v>183</v>
      </c>
      <c r="B39" s="115" t="s">
        <v>27</v>
      </c>
      <c r="C39" s="249">
        <f>'Custo por trabalhador'!B144</f>
        <v>0.08</v>
      </c>
      <c r="D39" s="135">
        <f t="shared" si="0"/>
        <v>238.21220744444446</v>
      </c>
    </row>
    <row r="40" spans="1:4" ht="16.2" thickBot="1" x14ac:dyDescent="0.35">
      <c r="A40" s="425" t="s">
        <v>184</v>
      </c>
      <c r="B40" s="426"/>
      <c r="C40" s="146">
        <f>'Custo por trabalhador'!B145</f>
        <v>0.39800000000000008</v>
      </c>
      <c r="D40" s="144">
        <f>SUM(D32:D39)</f>
        <v>1185.1057320361112</v>
      </c>
    </row>
    <row r="41" spans="1:4" ht="15.6" x14ac:dyDescent="0.3">
      <c r="A41" s="120"/>
      <c r="B41" s="120"/>
      <c r="C41" s="120"/>
      <c r="D41" s="120"/>
    </row>
    <row r="42" spans="1:4" ht="15.6" x14ac:dyDescent="0.3">
      <c r="A42" s="424" t="s">
        <v>185</v>
      </c>
      <c r="B42" s="424"/>
      <c r="C42" s="424"/>
      <c r="D42" s="120"/>
    </row>
    <row r="43" spans="1:4" ht="16.2" thickBot="1" x14ac:dyDescent="0.35">
      <c r="A43" s="120"/>
      <c r="B43" s="120"/>
      <c r="C43" s="120"/>
      <c r="D43" s="120"/>
    </row>
    <row r="44" spans="1:4" ht="16.2" thickBot="1" x14ac:dyDescent="0.35">
      <c r="A44" s="112" t="s">
        <v>186</v>
      </c>
      <c r="B44" s="113" t="s">
        <v>187</v>
      </c>
      <c r="C44" s="113" t="s">
        <v>159</v>
      </c>
      <c r="D44" s="120"/>
    </row>
    <row r="45" spans="1:4" ht="16.2" thickBot="1" x14ac:dyDescent="0.35">
      <c r="A45" s="114" t="s">
        <v>160</v>
      </c>
      <c r="B45" s="115" t="str">
        <f>'Custo por trabalhador'!B279</f>
        <v>Vale Transporte - Cláusula 16ª CCT 2024/2026</v>
      </c>
      <c r="C45" s="135">
        <f>'Custo por trabalhador'!B284</f>
        <v>0</v>
      </c>
      <c r="D45" s="120"/>
    </row>
    <row r="46" spans="1:4" ht="16.2" thickBot="1" x14ac:dyDescent="0.35">
      <c r="A46" s="114" t="s">
        <v>161</v>
      </c>
      <c r="B46" s="115" t="str">
        <f>'Custo por trabalhador'!C279</f>
        <v>Vale Refeição - Cláusula 15ª CCT 2024/2026</v>
      </c>
      <c r="C46" s="135">
        <f>'Custo por trabalhador'!C284</f>
        <v>471.96069999999997</v>
      </c>
      <c r="D46" s="120"/>
    </row>
    <row r="47" spans="1:4" ht="16.2" thickBot="1" x14ac:dyDescent="0.35">
      <c r="A47" s="114" t="s">
        <v>162</v>
      </c>
      <c r="B47" s="115" t="str">
        <f>'Custo por trabalhador'!D279</f>
        <v xml:space="preserve"> Card Saúde- Abraps Bombank - Clausula 58º CCT 2024/2026</v>
      </c>
      <c r="C47" s="135">
        <f>'Custo por trabalhador'!D284</f>
        <v>83.88</v>
      </c>
      <c r="D47" s="120"/>
    </row>
    <row r="48" spans="1:4" ht="16.2" thickBot="1" x14ac:dyDescent="0.35">
      <c r="A48" s="114" t="s">
        <v>163</v>
      </c>
      <c r="B48" s="115" t="s">
        <v>167</v>
      </c>
      <c r="C48" s="135">
        <f>'Custo por trabalhador'!E282</f>
        <v>0</v>
      </c>
      <c r="D48" s="120"/>
    </row>
    <row r="49" spans="1:4" ht="16.2" thickBot="1" x14ac:dyDescent="0.35">
      <c r="A49" s="425" t="s">
        <v>12</v>
      </c>
      <c r="B49" s="426"/>
      <c r="C49" s="139">
        <f>SUM(C45:C48)</f>
        <v>555.84069999999997</v>
      </c>
      <c r="D49" s="120"/>
    </row>
    <row r="50" spans="1:4" ht="15.6" x14ac:dyDescent="0.3">
      <c r="A50" s="120"/>
      <c r="B50" s="120"/>
      <c r="C50" s="120"/>
      <c r="D50" s="120"/>
    </row>
    <row r="51" spans="1:4" ht="15.6" x14ac:dyDescent="0.3">
      <c r="A51" s="424" t="s">
        <v>188</v>
      </c>
      <c r="B51" s="424"/>
      <c r="C51" s="424"/>
      <c r="D51" s="120"/>
    </row>
    <row r="52" spans="1:4" ht="16.2" thickBot="1" x14ac:dyDescent="0.35">
      <c r="A52" s="120"/>
      <c r="B52" s="120"/>
      <c r="C52" s="120"/>
      <c r="D52" s="120"/>
    </row>
    <row r="53" spans="1:4" ht="16.2" thickBot="1" x14ac:dyDescent="0.35">
      <c r="A53" s="112">
        <v>2</v>
      </c>
      <c r="B53" s="113" t="s">
        <v>189</v>
      </c>
      <c r="C53" s="113" t="s">
        <v>159</v>
      </c>
      <c r="D53" s="120"/>
    </row>
    <row r="54" spans="1:4" ht="16.2" thickBot="1" x14ac:dyDescent="0.35">
      <c r="A54" s="114" t="s">
        <v>170</v>
      </c>
      <c r="B54" s="115" t="s">
        <v>171</v>
      </c>
      <c r="C54" s="135">
        <f>'Custo por trabalhador'!B297</f>
        <v>484.73414305555553</v>
      </c>
      <c r="D54" s="120"/>
    </row>
    <row r="55" spans="1:4" ht="16.2" thickBot="1" x14ac:dyDescent="0.35">
      <c r="A55" s="114" t="s">
        <v>175</v>
      </c>
      <c r="B55" s="115" t="s">
        <v>176</v>
      </c>
      <c r="C55" s="135">
        <f>'Custo por trabalhador'!C297</f>
        <v>1185.1057320361115</v>
      </c>
      <c r="D55" s="120"/>
    </row>
    <row r="56" spans="1:4" ht="16.2" thickBot="1" x14ac:dyDescent="0.35">
      <c r="A56" s="114" t="s">
        <v>186</v>
      </c>
      <c r="B56" s="115" t="s">
        <v>187</v>
      </c>
      <c r="C56" s="135">
        <f>'Custo por trabalhador'!D297</f>
        <v>555.84069999999997</v>
      </c>
      <c r="D56" s="120"/>
    </row>
    <row r="57" spans="1:4" ht="16.2" thickBot="1" x14ac:dyDescent="0.35">
      <c r="A57" s="425" t="s">
        <v>12</v>
      </c>
      <c r="B57" s="426"/>
      <c r="C57" s="139">
        <f>SUM(C54:C56)</f>
        <v>2225.6805750916669</v>
      </c>
      <c r="D57" s="120"/>
    </row>
    <row r="58" spans="1:4" ht="15.6" x14ac:dyDescent="0.3">
      <c r="A58" s="120"/>
      <c r="B58" s="120"/>
      <c r="C58" s="120"/>
      <c r="D58" s="120"/>
    </row>
    <row r="59" spans="1:4" ht="15.6" x14ac:dyDescent="0.3">
      <c r="A59" s="413" t="s">
        <v>190</v>
      </c>
      <c r="B59" s="413"/>
      <c r="C59" s="413"/>
      <c r="D59" s="120"/>
    </row>
    <row r="60" spans="1:4" ht="16.2" thickBot="1" x14ac:dyDescent="0.35">
      <c r="A60" s="120"/>
      <c r="B60" s="120"/>
      <c r="C60" s="120"/>
      <c r="D60" s="120"/>
    </row>
    <row r="61" spans="1:4" s="120" customFormat="1" ht="16.2" thickBot="1" x14ac:dyDescent="0.35">
      <c r="A61" s="133">
        <v>3</v>
      </c>
      <c r="B61" s="195" t="s">
        <v>191</v>
      </c>
      <c r="C61" s="195" t="s">
        <v>159</v>
      </c>
      <c r="D61" s="195" t="s">
        <v>159</v>
      </c>
    </row>
    <row r="62" spans="1:4" s="120" customFormat="1" ht="15.6" x14ac:dyDescent="0.3">
      <c r="A62" s="40" t="s">
        <v>160</v>
      </c>
      <c r="B62" s="199" t="s">
        <v>192</v>
      </c>
      <c r="C62" s="200"/>
      <c r="D62" s="201">
        <f>'Custo por trabalhador'!B343</f>
        <v>2977.6525930555558</v>
      </c>
    </row>
    <row r="63" spans="1:4" s="120" customFormat="1" ht="15.6" x14ac:dyDescent="0.3">
      <c r="A63" s="23" t="s">
        <v>161</v>
      </c>
      <c r="B63" s="197" t="s">
        <v>193</v>
      </c>
      <c r="C63" s="198">
        <v>0.08</v>
      </c>
      <c r="D63" s="202">
        <f>'Custo por trabalhador'!C343</f>
        <v>238.21220744444446</v>
      </c>
    </row>
    <row r="64" spans="1:4" s="120" customFormat="1" ht="16.2" thickBot="1" x14ac:dyDescent="0.35">
      <c r="A64" s="24" t="s">
        <v>162</v>
      </c>
      <c r="B64" s="203" t="s">
        <v>194</v>
      </c>
      <c r="C64" s="221">
        <v>0.4</v>
      </c>
      <c r="D64" s="204">
        <f>'Custo por trabalhador'!D343</f>
        <v>95.284882977777784</v>
      </c>
    </row>
    <row r="65" spans="1:4" s="120" customFormat="1" ht="16.2" thickBot="1" x14ac:dyDescent="0.35">
      <c r="A65" s="208"/>
      <c r="B65" s="209" t="s">
        <v>253</v>
      </c>
      <c r="C65" s="225">
        <f>'Custo por trabalhador'!B307</f>
        <v>4.1999999999999997E-3</v>
      </c>
      <c r="D65" s="211">
        <f>'Custo por trabalhador'!F343</f>
        <v>13.906828670606668</v>
      </c>
    </row>
    <row r="66" spans="1:4" s="120" customFormat="1" ht="15.6" x14ac:dyDescent="0.3">
      <c r="A66" s="222" t="s">
        <v>163</v>
      </c>
      <c r="B66" s="223" t="s">
        <v>195</v>
      </c>
      <c r="C66" s="224"/>
      <c r="D66" s="201">
        <f>'Custo por trabalhador'!B378</f>
        <v>3533.493293055556</v>
      </c>
    </row>
    <row r="67" spans="1:4" s="120" customFormat="1" ht="15.6" x14ac:dyDescent="0.3">
      <c r="A67" s="196" t="s">
        <v>164</v>
      </c>
      <c r="B67" s="197" t="s">
        <v>196</v>
      </c>
      <c r="C67" s="205">
        <f>C40</f>
        <v>0.39800000000000008</v>
      </c>
      <c r="D67" s="202">
        <f>'Custo por trabalhador'!C378</f>
        <v>1185.1057320361115</v>
      </c>
    </row>
    <row r="68" spans="1:4" s="120" customFormat="1" ht="16.2" thickBot="1" x14ac:dyDescent="0.35">
      <c r="A68" s="206" t="s">
        <v>165</v>
      </c>
      <c r="B68" s="203" t="s">
        <v>197</v>
      </c>
      <c r="C68" s="207">
        <v>0.4</v>
      </c>
      <c r="D68" s="204">
        <f>'Custo por trabalhador'!D378</f>
        <v>95.284882977777784</v>
      </c>
    </row>
    <row r="69" spans="1:4" s="120" customFormat="1" ht="16.2" thickBot="1" x14ac:dyDescent="0.35">
      <c r="A69" s="155"/>
      <c r="B69" s="209" t="s">
        <v>254</v>
      </c>
      <c r="C69" s="210">
        <f>'Custo por trabalhador'!B308</f>
        <v>1.9400000000000001E-2</v>
      </c>
      <c r="D69" s="211">
        <f>'Custo por trabalhador'!F378</f>
        <v>93.389347816547243</v>
      </c>
    </row>
    <row r="70" spans="1:4" s="120" customFormat="1" ht="16.2" thickBot="1" x14ac:dyDescent="0.35">
      <c r="A70" s="431" t="s">
        <v>12</v>
      </c>
      <c r="B70" s="432"/>
      <c r="C70" s="139"/>
      <c r="D70" s="139">
        <f>'Custo por trabalhador'!E415</f>
        <v>107.29617648715391</v>
      </c>
    </row>
    <row r="71" spans="1:4" ht="15.6" x14ac:dyDescent="0.3">
      <c r="A71" s="120"/>
      <c r="B71" s="120"/>
      <c r="C71" s="120"/>
      <c r="D71" s="120"/>
    </row>
    <row r="72" spans="1:4" ht="15.6" x14ac:dyDescent="0.3">
      <c r="A72" s="413" t="s">
        <v>198</v>
      </c>
      <c r="B72" s="413"/>
      <c r="C72" s="413"/>
      <c r="D72" s="120"/>
    </row>
    <row r="73" spans="1:4" ht="15.6" x14ac:dyDescent="0.3">
      <c r="A73" s="120"/>
      <c r="B73" s="120"/>
      <c r="C73" s="120"/>
      <c r="D73" s="120"/>
    </row>
    <row r="74" spans="1:4" ht="15.6" x14ac:dyDescent="0.3">
      <c r="A74" s="424" t="s">
        <v>199</v>
      </c>
      <c r="B74" s="424"/>
      <c r="C74" s="424"/>
      <c r="D74" s="120"/>
    </row>
    <row r="75" spans="1:4" ht="16.2" thickBot="1" x14ac:dyDescent="0.35">
      <c r="A75" s="28"/>
      <c r="B75" s="120"/>
      <c r="C75" s="120"/>
      <c r="D75" s="120"/>
    </row>
    <row r="76" spans="1:4" ht="16.2" thickBot="1" x14ac:dyDescent="0.35">
      <c r="A76" s="112" t="s">
        <v>200</v>
      </c>
      <c r="B76" s="113" t="s">
        <v>201</v>
      </c>
      <c r="C76" s="113" t="s">
        <v>159</v>
      </c>
      <c r="D76" s="120"/>
    </row>
    <row r="77" spans="1:4" ht="16.2" thickBot="1" x14ac:dyDescent="0.35">
      <c r="A77" s="114" t="s">
        <v>160</v>
      </c>
      <c r="B77" s="115" t="s">
        <v>201</v>
      </c>
      <c r="C77" s="135">
        <f>'Custo por trabalhador'!B500</f>
        <v>270.02827416178593</v>
      </c>
      <c r="D77" s="120"/>
    </row>
    <row r="78" spans="1:4" ht="16.2" thickBot="1" x14ac:dyDescent="0.35">
      <c r="A78" s="425" t="s">
        <v>184</v>
      </c>
      <c r="B78" s="426"/>
      <c r="C78" s="139">
        <f>SUM(C77:C77)</f>
        <v>270.02827416178593</v>
      </c>
      <c r="D78" s="120"/>
    </row>
    <row r="79" spans="1:4" ht="15.6" x14ac:dyDescent="0.3">
      <c r="A79" s="120"/>
      <c r="B79" s="120"/>
      <c r="C79" s="120"/>
      <c r="D79" s="120"/>
    </row>
    <row r="80" spans="1:4" ht="15.6" x14ac:dyDescent="0.3">
      <c r="A80" s="424" t="s">
        <v>202</v>
      </c>
      <c r="B80" s="424"/>
      <c r="C80" s="424"/>
      <c r="D80" s="120"/>
    </row>
    <row r="81" spans="1:4" ht="16.2" thickBot="1" x14ac:dyDescent="0.35">
      <c r="A81" s="28"/>
      <c r="B81" s="120"/>
      <c r="C81" s="120"/>
      <c r="D81" s="120"/>
    </row>
    <row r="82" spans="1:4" ht="16.2" thickBot="1" x14ac:dyDescent="0.35">
      <c r="A82" s="112" t="s">
        <v>203</v>
      </c>
      <c r="B82" s="113" t="s">
        <v>204</v>
      </c>
      <c r="C82" s="113" t="s">
        <v>159</v>
      </c>
      <c r="D82" s="120"/>
    </row>
    <row r="83" spans="1:4" ht="16.2" thickBot="1" x14ac:dyDescent="0.35">
      <c r="A83" s="114" t="s">
        <v>160</v>
      </c>
      <c r="B83" s="115" t="s">
        <v>227</v>
      </c>
      <c r="C83" s="135">
        <f>'Custo por trabalhador'!C500</f>
        <v>311.08856647003864</v>
      </c>
      <c r="D83" s="120"/>
    </row>
    <row r="84" spans="1:4" ht="16.2" thickBot="1" x14ac:dyDescent="0.35">
      <c r="A84" s="425" t="s">
        <v>12</v>
      </c>
      <c r="B84" s="426"/>
      <c r="C84" s="137">
        <f>SUM(C83)</f>
        <v>311.08856647003864</v>
      </c>
      <c r="D84" s="120"/>
    </row>
    <row r="85" spans="1:4" ht="15.6" x14ac:dyDescent="0.3">
      <c r="A85" s="120"/>
      <c r="B85" s="120"/>
      <c r="C85" s="120"/>
      <c r="D85" s="120"/>
    </row>
    <row r="86" spans="1:4" ht="15.6" x14ac:dyDescent="0.3">
      <c r="A86" s="424" t="s">
        <v>205</v>
      </c>
      <c r="B86" s="424"/>
      <c r="C86" s="424"/>
      <c r="D86" s="120"/>
    </row>
    <row r="87" spans="1:4" ht="16.2" thickBot="1" x14ac:dyDescent="0.35">
      <c r="A87" s="28"/>
      <c r="B87" s="120"/>
      <c r="C87" s="120"/>
      <c r="D87" s="120"/>
    </row>
    <row r="88" spans="1:4" ht="16.2" thickBot="1" x14ac:dyDescent="0.35">
      <c r="A88" s="112">
        <v>4</v>
      </c>
      <c r="B88" s="113" t="s">
        <v>206</v>
      </c>
      <c r="C88" s="113" t="s">
        <v>159</v>
      </c>
      <c r="D88" s="120"/>
    </row>
    <row r="89" spans="1:4" ht="16.2" thickBot="1" x14ac:dyDescent="0.35">
      <c r="A89" s="114" t="s">
        <v>200</v>
      </c>
      <c r="B89" s="115" t="s">
        <v>201</v>
      </c>
      <c r="C89" s="136">
        <f>C78</f>
        <v>270.02827416178593</v>
      </c>
      <c r="D89" s="120"/>
    </row>
    <row r="90" spans="1:4" ht="16.2" thickBot="1" x14ac:dyDescent="0.35">
      <c r="A90" s="114" t="s">
        <v>203</v>
      </c>
      <c r="B90" s="115" t="s">
        <v>204</v>
      </c>
      <c r="C90" s="136">
        <f>C84</f>
        <v>311.08856647003864</v>
      </c>
      <c r="D90" s="120"/>
    </row>
    <row r="91" spans="1:4" ht="16.2" thickBot="1" x14ac:dyDescent="0.35">
      <c r="A91" s="425" t="s">
        <v>12</v>
      </c>
      <c r="B91" s="426"/>
      <c r="C91" s="137">
        <f>SUM(C89:C90)</f>
        <v>581.11684063182452</v>
      </c>
      <c r="D91" s="120"/>
    </row>
    <row r="92" spans="1:4" ht="15.6" x14ac:dyDescent="0.3">
      <c r="A92" s="120"/>
      <c r="B92" s="120"/>
      <c r="C92" s="120"/>
      <c r="D92" s="120"/>
    </row>
    <row r="93" spans="1:4" ht="15.6" x14ac:dyDescent="0.3">
      <c r="A93" s="413" t="s">
        <v>207</v>
      </c>
      <c r="B93" s="413"/>
      <c r="C93" s="413"/>
      <c r="D93" s="120"/>
    </row>
    <row r="94" spans="1:4" ht="16.2" thickBot="1" x14ac:dyDescent="0.35">
      <c r="A94" s="120"/>
      <c r="B94" s="120"/>
      <c r="C94" s="120"/>
      <c r="D94" s="120"/>
    </row>
    <row r="95" spans="1:4" ht="16.2" thickBot="1" x14ac:dyDescent="0.35">
      <c r="A95" s="112">
        <v>5</v>
      </c>
      <c r="B95" s="119" t="s">
        <v>120</v>
      </c>
      <c r="C95" s="113" t="s">
        <v>159</v>
      </c>
      <c r="D95" s="120"/>
    </row>
    <row r="96" spans="1:4" ht="16.2" thickBot="1" x14ac:dyDescent="0.35">
      <c r="A96" s="114" t="s">
        <v>160</v>
      </c>
      <c r="B96" s="115" t="s">
        <v>208</v>
      </c>
      <c r="C96" s="135">
        <f>'Custo por trabalhador'!B593</f>
        <v>256.16666666666669</v>
      </c>
      <c r="D96" s="120"/>
    </row>
    <row r="97" spans="1:4" ht="16.2" thickBot="1" x14ac:dyDescent="0.35">
      <c r="A97" s="114" t="s">
        <v>161</v>
      </c>
      <c r="B97" s="115" t="s">
        <v>209</v>
      </c>
      <c r="C97" s="135">
        <f>'Custo por trabalhador'!C593</f>
        <v>153.60499999999999</v>
      </c>
      <c r="D97" s="120"/>
    </row>
    <row r="98" spans="1:4" ht="16.2" thickBot="1" x14ac:dyDescent="0.35">
      <c r="A98" s="114" t="s">
        <v>162</v>
      </c>
      <c r="B98" s="115" t="s">
        <v>210</v>
      </c>
      <c r="C98" s="135">
        <f>'Custo por trabalhador'!D593</f>
        <v>154.17070833333332</v>
      </c>
      <c r="D98" s="120"/>
    </row>
    <row r="99" spans="1:4" ht="16.2" thickBot="1" x14ac:dyDescent="0.35">
      <c r="A99" s="114" t="s">
        <v>163</v>
      </c>
      <c r="B99" s="115" t="s">
        <v>258</v>
      </c>
      <c r="C99" s="135"/>
      <c r="D99" s="120"/>
    </row>
    <row r="100" spans="1:4" ht="16.2" thickBot="1" x14ac:dyDescent="0.35">
      <c r="A100" s="425" t="s">
        <v>184</v>
      </c>
      <c r="B100" s="426"/>
      <c r="C100" s="137">
        <f>SUM(C96:C99)</f>
        <v>563.94237499999997</v>
      </c>
      <c r="D100" s="120"/>
    </row>
    <row r="101" spans="1:4" ht="15.6" x14ac:dyDescent="0.3">
      <c r="A101" s="120"/>
      <c r="B101" s="120"/>
      <c r="C101" s="120"/>
      <c r="D101" s="120"/>
    </row>
    <row r="102" spans="1:4" ht="15.6" x14ac:dyDescent="0.3">
      <c r="A102" s="413" t="s">
        <v>211</v>
      </c>
      <c r="B102" s="413"/>
      <c r="C102" s="413"/>
      <c r="D102" s="120"/>
    </row>
    <row r="103" spans="1:4" ht="16.2" thickBot="1" x14ac:dyDescent="0.35">
      <c r="A103" s="120"/>
      <c r="B103" s="120"/>
      <c r="C103" s="120"/>
      <c r="D103" s="120"/>
    </row>
    <row r="104" spans="1:4" ht="16.2" thickBot="1" x14ac:dyDescent="0.35">
      <c r="A104" s="112">
        <v>6</v>
      </c>
      <c r="B104" s="119" t="s">
        <v>121</v>
      </c>
      <c r="C104" s="113" t="s">
        <v>177</v>
      </c>
      <c r="D104" s="113" t="s">
        <v>159</v>
      </c>
    </row>
    <row r="105" spans="1:4" ht="16.2" thickBot="1" x14ac:dyDescent="0.35">
      <c r="A105" s="114" t="s">
        <v>160</v>
      </c>
      <c r="B105" s="115" t="s">
        <v>138</v>
      </c>
      <c r="C105" s="117">
        <f>'Custo por trabalhador'!B601</f>
        <v>0.03</v>
      </c>
      <c r="D105" s="116"/>
    </row>
    <row r="106" spans="1:4" ht="16.2" thickBot="1" x14ac:dyDescent="0.35">
      <c r="A106" s="114" t="s">
        <v>161</v>
      </c>
      <c r="B106" s="115" t="s">
        <v>140</v>
      </c>
      <c r="C106" s="117">
        <f>'Custo por trabalhador'!B603</f>
        <v>3.2599999999999997E-2</v>
      </c>
      <c r="D106" s="116"/>
    </row>
    <row r="107" spans="1:4" ht="16.2" thickBot="1" x14ac:dyDescent="0.35">
      <c r="A107" s="114" t="s">
        <v>162</v>
      </c>
      <c r="B107" s="115" t="s">
        <v>139</v>
      </c>
      <c r="C107" s="117">
        <f>'Custo por trabalhador'!B602</f>
        <v>8.6499999999999994E-2</v>
      </c>
      <c r="D107" s="116"/>
    </row>
    <row r="108" spans="1:4" ht="16.2" thickBot="1" x14ac:dyDescent="0.35">
      <c r="A108" s="114"/>
      <c r="B108" s="115" t="s">
        <v>212</v>
      </c>
      <c r="C108" s="117"/>
      <c r="D108" s="116"/>
    </row>
    <row r="109" spans="1:4" ht="16.2" thickBot="1" x14ac:dyDescent="0.35">
      <c r="A109" s="114"/>
      <c r="B109" s="115" t="s">
        <v>213</v>
      </c>
      <c r="C109" s="117"/>
      <c r="D109" s="116"/>
    </row>
    <row r="110" spans="1:4" ht="16.2" thickBot="1" x14ac:dyDescent="0.35">
      <c r="A110" s="114"/>
      <c r="B110" s="115" t="s">
        <v>214</v>
      </c>
      <c r="C110" s="117"/>
      <c r="D110" s="116"/>
    </row>
    <row r="111" spans="1:4" ht="16.2" thickBot="1" x14ac:dyDescent="0.35">
      <c r="A111" s="425" t="s">
        <v>184</v>
      </c>
      <c r="B111" s="426"/>
      <c r="C111" s="146">
        <f>'Custo por trabalhador'!C607</f>
        <v>0.16925871268021342</v>
      </c>
      <c r="D111" s="139">
        <f>'Custo por trabalhador'!D611</f>
        <v>905.10972942056947</v>
      </c>
    </row>
    <row r="112" spans="1:4" ht="16.2" thickBot="1" x14ac:dyDescent="0.35">
      <c r="A112" s="120"/>
      <c r="B112" s="120"/>
      <c r="C112" s="120"/>
      <c r="D112" s="120"/>
    </row>
    <row r="113" spans="1:5" s="120" customFormat="1" ht="16.2" thickBot="1" x14ac:dyDescent="0.35">
      <c r="A113" s="373" t="s">
        <v>255</v>
      </c>
      <c r="B113" s="374"/>
      <c r="C113" s="375"/>
    </row>
    <row r="114" spans="1:5" s="120" customFormat="1" ht="16.2" thickBot="1" x14ac:dyDescent="0.35">
      <c r="A114" s="215" t="s">
        <v>160</v>
      </c>
      <c r="B114" s="216" t="s">
        <v>256</v>
      </c>
      <c r="C114" s="217">
        <f>'Custo por trabalhador'!D621</f>
        <v>137.27509024047339</v>
      </c>
    </row>
    <row r="115" spans="1:5" ht="15.6" x14ac:dyDescent="0.3">
      <c r="A115" s="120"/>
      <c r="B115" s="120"/>
      <c r="C115" s="120"/>
      <c r="D115" s="120"/>
    </row>
    <row r="116" spans="1:5" ht="15.6" x14ac:dyDescent="0.3">
      <c r="A116" s="413" t="s">
        <v>215</v>
      </c>
      <c r="B116" s="413"/>
      <c r="C116" s="413"/>
      <c r="D116" s="120"/>
    </row>
    <row r="117" spans="1:5" ht="16.2" thickBot="1" x14ac:dyDescent="0.35">
      <c r="A117" s="120"/>
      <c r="B117" s="120"/>
      <c r="C117" s="120"/>
      <c r="D117" s="120"/>
    </row>
    <row r="118" spans="1:5" ht="16.2" thickBot="1" x14ac:dyDescent="0.35">
      <c r="A118" s="112"/>
      <c r="B118" s="113" t="s">
        <v>216</v>
      </c>
      <c r="C118" s="113" t="s">
        <v>159</v>
      </c>
      <c r="D118" s="120"/>
    </row>
    <row r="119" spans="1:5" ht="16.2" thickBot="1" x14ac:dyDescent="0.35">
      <c r="A119" s="121" t="s">
        <v>160</v>
      </c>
      <c r="B119" s="115" t="s">
        <v>157</v>
      </c>
      <c r="C119" s="140">
        <f>'Custo por trabalhador'!F629</f>
        <v>2492.9184500000001</v>
      </c>
      <c r="D119" s="120"/>
    </row>
    <row r="120" spans="1:5" ht="16.2" thickBot="1" x14ac:dyDescent="0.35">
      <c r="A120" s="121" t="s">
        <v>161</v>
      </c>
      <c r="B120" s="115" t="s">
        <v>168</v>
      </c>
      <c r="C120" s="140">
        <f>'Custo por trabalhador'!F630</f>
        <v>2225.6805750916669</v>
      </c>
      <c r="D120" s="120"/>
    </row>
    <row r="121" spans="1:5" ht="16.2" thickBot="1" x14ac:dyDescent="0.35">
      <c r="A121" s="121" t="s">
        <v>162</v>
      </c>
      <c r="B121" s="115" t="s">
        <v>190</v>
      </c>
      <c r="C121" s="140">
        <f>'Custo por trabalhador'!F631</f>
        <v>107.29617648715391</v>
      </c>
      <c r="D121" s="120"/>
    </row>
    <row r="122" spans="1:5" ht="16.2" thickBot="1" x14ac:dyDescent="0.35">
      <c r="A122" s="121" t="s">
        <v>163</v>
      </c>
      <c r="B122" s="115" t="s">
        <v>198</v>
      </c>
      <c r="C122" s="140">
        <f>'Custo por trabalhador'!F632</f>
        <v>581.11684063182452</v>
      </c>
      <c r="D122" s="120"/>
    </row>
    <row r="123" spans="1:5" ht="16.2" thickBot="1" x14ac:dyDescent="0.35">
      <c r="A123" s="121" t="s">
        <v>164</v>
      </c>
      <c r="B123" s="115" t="s">
        <v>207</v>
      </c>
      <c r="C123" s="140">
        <f>'Custo por trabalhador'!F633</f>
        <v>563.94237499999997</v>
      </c>
      <c r="D123" s="120"/>
    </row>
    <row r="124" spans="1:5" ht="16.5" customHeight="1" thickBot="1" x14ac:dyDescent="0.35">
      <c r="A124" s="425" t="s">
        <v>217</v>
      </c>
      <c r="B124" s="426"/>
      <c r="C124" s="141">
        <f>ROUND(SUM(C119:C123),(2))</f>
        <v>5970.95</v>
      </c>
      <c r="D124" s="120"/>
    </row>
    <row r="125" spans="1:5" s="120" customFormat="1" ht="16.2" thickBot="1" x14ac:dyDescent="0.35">
      <c r="A125" s="133" t="s">
        <v>165</v>
      </c>
      <c r="B125" s="134" t="s">
        <v>218</v>
      </c>
      <c r="C125" s="142">
        <f>'Custo por trabalhador'!F634</f>
        <v>905.10972942056947</v>
      </c>
    </row>
    <row r="126" spans="1:5" s="120" customFormat="1" ht="16.2" thickBot="1" x14ac:dyDescent="0.35">
      <c r="A126" s="133" t="s">
        <v>166</v>
      </c>
      <c r="B126" s="134" t="s">
        <v>256</v>
      </c>
      <c r="C126" s="142">
        <f>'Custo por trabalhador'!F635</f>
        <v>137.27509024047339</v>
      </c>
    </row>
    <row r="127" spans="1:5" s="120" customFormat="1" ht="16.2" thickBot="1" x14ac:dyDescent="0.35">
      <c r="A127" s="418" t="s">
        <v>219</v>
      </c>
      <c r="B127" s="419"/>
      <c r="C127" s="147">
        <f>ROUND(SUM(C119:C123,C125:C126),(2))</f>
        <v>7013.34</v>
      </c>
      <c r="E127" s="143"/>
    </row>
    <row r="128" spans="1:5" s="120" customFormat="1" ht="16.2" thickBot="1" x14ac:dyDescent="0.35">
      <c r="A128" s="418" t="s">
        <v>240</v>
      </c>
      <c r="B128" s="419"/>
      <c r="C128" s="147">
        <f>ROUND((C127),(2))*2</f>
        <v>14026.68</v>
      </c>
    </row>
  </sheetData>
  <mergeCells count="34">
    <mergeCell ref="A40:B40"/>
    <mergeCell ref="A1:D1"/>
    <mergeCell ref="A2:D2"/>
    <mergeCell ref="A3:D3"/>
    <mergeCell ref="A5:C5"/>
    <mergeCell ref="A6:C6"/>
    <mergeCell ref="A8:C8"/>
    <mergeCell ref="A18:B18"/>
    <mergeCell ref="A20:C20"/>
    <mergeCell ref="A22:C22"/>
    <mergeCell ref="A27:B27"/>
    <mergeCell ref="A29:D29"/>
    <mergeCell ref="A86:C86"/>
    <mergeCell ref="A42:C42"/>
    <mergeCell ref="A49:B49"/>
    <mergeCell ref="A51:C51"/>
    <mergeCell ref="A57:B57"/>
    <mergeCell ref="A59:C59"/>
    <mergeCell ref="A70:B70"/>
    <mergeCell ref="A72:C72"/>
    <mergeCell ref="A74:C74"/>
    <mergeCell ref="A78:B78"/>
    <mergeCell ref="A80:C80"/>
    <mergeCell ref="A84:B84"/>
    <mergeCell ref="A116:C116"/>
    <mergeCell ref="A124:B124"/>
    <mergeCell ref="A127:B127"/>
    <mergeCell ref="A128:B128"/>
    <mergeCell ref="A91:B91"/>
    <mergeCell ref="A93:C93"/>
    <mergeCell ref="A100:B100"/>
    <mergeCell ref="A102:C102"/>
    <mergeCell ref="A111:B111"/>
    <mergeCell ref="A113:C1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28"/>
  <sheetViews>
    <sheetView zoomScale="115" zoomScaleNormal="115" workbookViewId="0">
      <selection activeCell="C129" sqref="C129"/>
    </sheetView>
  </sheetViews>
  <sheetFormatPr defaultRowHeight="14.4" x14ac:dyDescent="0.3"/>
  <cols>
    <col min="2" max="2" width="79.88671875" customWidth="1"/>
    <col min="3" max="3" width="18" customWidth="1"/>
    <col min="4" max="4" width="14.33203125" customWidth="1"/>
  </cols>
  <sheetData>
    <row r="1" spans="1:4" ht="22.8" x14ac:dyDescent="0.4">
      <c r="A1" s="394" t="s">
        <v>220</v>
      </c>
      <c r="B1" s="394"/>
      <c r="C1" s="394"/>
      <c r="D1" s="394"/>
    </row>
    <row r="2" spans="1:4" ht="22.8" x14ac:dyDescent="0.4">
      <c r="A2" s="394" t="s">
        <v>232</v>
      </c>
      <c r="B2" s="394"/>
      <c r="C2" s="394"/>
      <c r="D2" s="394"/>
    </row>
    <row r="3" spans="1:4" ht="15.6" x14ac:dyDescent="0.3">
      <c r="A3" s="423" t="s">
        <v>226</v>
      </c>
      <c r="B3" s="423"/>
      <c r="C3" s="423"/>
      <c r="D3" s="423"/>
    </row>
    <row r="4" spans="1:4" ht="16.2" thickBot="1" x14ac:dyDescent="0.35">
      <c r="A4" s="145"/>
      <c r="B4" s="145"/>
      <c r="C4" s="145"/>
      <c r="D4" s="145"/>
    </row>
    <row r="5" spans="1:4" ht="16.2" thickBot="1" x14ac:dyDescent="0.35">
      <c r="A5" s="435" t="s">
        <v>241</v>
      </c>
      <c r="B5" s="436"/>
      <c r="C5" s="437"/>
      <c r="D5" s="145"/>
    </row>
    <row r="6" spans="1:4" ht="15.6" customHeight="1" thickBot="1" x14ac:dyDescent="0.35">
      <c r="A6" s="438" t="s">
        <v>231</v>
      </c>
      <c r="B6" s="439"/>
      <c r="C6" s="440"/>
      <c r="D6" s="145"/>
    </row>
    <row r="7" spans="1:4" ht="15.6" x14ac:dyDescent="0.3">
      <c r="A7" s="120"/>
      <c r="B7" s="120"/>
      <c r="C7" s="120"/>
      <c r="D7" s="120"/>
    </row>
    <row r="8" spans="1:4" ht="15.6" x14ac:dyDescent="0.3">
      <c r="A8" s="413" t="s">
        <v>157</v>
      </c>
      <c r="B8" s="413"/>
      <c r="C8" s="413"/>
      <c r="D8" s="120"/>
    </row>
    <row r="9" spans="1:4" ht="16.2" thickBot="1" x14ac:dyDescent="0.35">
      <c r="A9" s="120"/>
      <c r="B9" s="120"/>
      <c r="C9" s="120"/>
      <c r="D9" s="120"/>
    </row>
    <row r="10" spans="1:4" ht="20.100000000000001" customHeight="1" thickBot="1" x14ac:dyDescent="0.35">
      <c r="A10" s="112">
        <v>1</v>
      </c>
      <c r="B10" s="113" t="s">
        <v>158</v>
      </c>
      <c r="C10" s="113" t="s">
        <v>159</v>
      </c>
      <c r="D10" s="120"/>
    </row>
    <row r="11" spans="1:4" ht="20.100000000000001" customHeight="1" thickBot="1" x14ac:dyDescent="0.35">
      <c r="A11" s="114" t="s">
        <v>160</v>
      </c>
      <c r="B11" s="115" t="str">
        <f>'Custo por trabalhador'!B74</f>
        <v>Salário Base - Cláusula 3ª, CCT 2024/2026</v>
      </c>
      <c r="C11" s="135">
        <f>'Custo por trabalhador'!B80</f>
        <v>1733.93</v>
      </c>
      <c r="D11" s="120"/>
    </row>
    <row r="12" spans="1:4" ht="20.100000000000001" customHeight="1" thickBot="1" x14ac:dyDescent="0.35">
      <c r="A12" s="114" t="s">
        <v>161</v>
      </c>
      <c r="B12" s="115" t="str">
        <f>'Custo por trabalhador'!C74</f>
        <v xml:space="preserve">Gratificação de Função e Adicional -  Cláusula 12ª CCT 2024/2026, § 1º, Alínea a </v>
      </c>
      <c r="C12" s="135">
        <f>'Custo por trabalhador'!C80</f>
        <v>0</v>
      </c>
      <c r="D12" s="120"/>
    </row>
    <row r="13" spans="1:4" ht="20.100000000000001" customHeight="1" thickBot="1" x14ac:dyDescent="0.35">
      <c r="A13" s="114" t="s">
        <v>162</v>
      </c>
      <c r="B13" s="115" t="str">
        <f>'Custo por trabalhador'!D74</f>
        <v xml:space="preserve">Gratificação de Função e Adicional -  Cláusula 12ª CCT 2024/2026, § 2º, Alínea a </v>
      </c>
      <c r="C13" s="135">
        <f>'Custo por trabalhador'!D80</f>
        <v>208.07159999999999</v>
      </c>
      <c r="D13" s="120"/>
    </row>
    <row r="14" spans="1:4" ht="20.100000000000001" customHeight="1" thickBot="1" x14ac:dyDescent="0.35">
      <c r="A14" s="114" t="s">
        <v>163</v>
      </c>
      <c r="B14" s="115" t="str">
        <f>'Custo por trabalhador'!E74</f>
        <v>Adicional de   Periculosidade   - Cláusula 14º CCT 2024/2026</v>
      </c>
      <c r="C14" s="135">
        <f>'Custo por trabalhador'!E80</f>
        <v>520.17899999999997</v>
      </c>
      <c r="D14" s="120"/>
    </row>
    <row r="15" spans="1:4" ht="20.100000000000001" customHeight="1" thickBot="1" x14ac:dyDescent="0.35">
      <c r="A15" s="114" t="s">
        <v>164</v>
      </c>
      <c r="B15" s="115" t="str">
        <f>'Custo por trabalhador'!F74</f>
        <v>Adicional Noturno - Cláusula 13ª CCT 2024/2026</v>
      </c>
      <c r="C15" s="135">
        <f>'Custo por trabalhador'!F80</f>
        <v>375.68483333333336</v>
      </c>
      <c r="D15" s="120"/>
    </row>
    <row r="16" spans="1:4" ht="20.100000000000001" customHeight="1" thickBot="1" x14ac:dyDescent="0.35">
      <c r="A16" s="114" t="s">
        <v>165</v>
      </c>
      <c r="B16" s="115" t="str">
        <f>'Custo por trabalhador'!G74</f>
        <v>Adicional - Clausula 31º, § 4º - CCT 2024/2026</v>
      </c>
      <c r="C16" s="135">
        <f>'Custo por trabalhador'!G80</f>
        <v>35.860824999999998</v>
      </c>
      <c r="D16" s="120"/>
    </row>
    <row r="17" spans="1:4" ht="20.100000000000001" customHeight="1" thickBot="1" x14ac:dyDescent="0.35">
      <c r="A17" s="114"/>
      <c r="B17" s="115"/>
      <c r="C17" s="135"/>
      <c r="D17" s="120"/>
    </row>
    <row r="18" spans="1:4" ht="20.100000000000001" customHeight="1" thickBot="1" x14ac:dyDescent="0.35">
      <c r="A18" s="425" t="s">
        <v>12</v>
      </c>
      <c r="B18" s="426"/>
      <c r="C18" s="139">
        <f>SUM(C11:C17)</f>
        <v>2873.7262583333336</v>
      </c>
      <c r="D18" s="120"/>
    </row>
    <row r="19" spans="1:4" ht="15.6" x14ac:dyDescent="0.3">
      <c r="A19" s="120"/>
      <c r="B19" s="120"/>
      <c r="C19" s="120"/>
      <c r="D19" s="120"/>
    </row>
    <row r="20" spans="1:4" ht="15.6" x14ac:dyDescent="0.3">
      <c r="A20" s="413" t="s">
        <v>168</v>
      </c>
      <c r="B20" s="413"/>
      <c r="C20" s="413"/>
      <c r="D20" s="120"/>
    </row>
    <row r="21" spans="1:4" ht="15.6" x14ac:dyDescent="0.3">
      <c r="A21" s="28"/>
      <c r="B21" s="120"/>
      <c r="C21" s="120"/>
      <c r="D21" s="120"/>
    </row>
    <row r="22" spans="1:4" ht="15.6" x14ac:dyDescent="0.3">
      <c r="A22" s="424" t="s">
        <v>169</v>
      </c>
      <c r="B22" s="424"/>
      <c r="C22" s="424"/>
      <c r="D22" s="120"/>
    </row>
    <row r="23" spans="1:4" ht="16.2" thickBot="1" x14ac:dyDescent="0.35">
      <c r="A23" s="120"/>
      <c r="B23" s="120"/>
      <c r="C23" s="120"/>
      <c r="D23" s="120"/>
    </row>
    <row r="24" spans="1:4" ht="16.2" thickBot="1" x14ac:dyDescent="0.35">
      <c r="A24" s="112" t="s">
        <v>170</v>
      </c>
      <c r="B24" s="113" t="s">
        <v>171</v>
      </c>
      <c r="C24" s="113" t="s">
        <v>159</v>
      </c>
      <c r="D24" s="120"/>
    </row>
    <row r="25" spans="1:4" ht="16.2" thickBot="1" x14ac:dyDescent="0.35">
      <c r="A25" s="114" t="s">
        <v>160</v>
      </c>
      <c r="B25" s="115" t="s">
        <v>172</v>
      </c>
      <c r="C25" s="135">
        <f>'Custo por trabalhador'!B128</f>
        <v>239.47718819444447</v>
      </c>
      <c r="D25" s="120"/>
    </row>
    <row r="26" spans="1:4" ht="16.2" thickBot="1" x14ac:dyDescent="0.35">
      <c r="A26" s="114" t="s">
        <v>161</v>
      </c>
      <c r="B26" s="115" t="s">
        <v>173</v>
      </c>
      <c r="C26" s="135">
        <f>'Custo por trabalhador'!C128+'Custo por trabalhador'!D128</f>
        <v>287.56893356481481</v>
      </c>
      <c r="D26" s="120"/>
    </row>
    <row r="27" spans="1:4" ht="16.2" thickBot="1" x14ac:dyDescent="0.35">
      <c r="A27" s="425" t="s">
        <v>12</v>
      </c>
      <c r="B27" s="426"/>
      <c r="C27" s="139">
        <f>SUM(C25:C26)</f>
        <v>527.04612175925922</v>
      </c>
      <c r="D27" s="120"/>
    </row>
    <row r="28" spans="1:4" ht="15.6" x14ac:dyDescent="0.3">
      <c r="A28" s="120"/>
      <c r="B28" s="120"/>
      <c r="C28" s="120"/>
      <c r="D28" s="120"/>
    </row>
    <row r="29" spans="1:4" ht="15.75" customHeight="1" x14ac:dyDescent="0.3">
      <c r="A29" s="427" t="s">
        <v>174</v>
      </c>
      <c r="B29" s="427"/>
      <c r="C29" s="427"/>
      <c r="D29" s="427"/>
    </row>
    <row r="30" spans="1:4" ht="16.2" thickBot="1" x14ac:dyDescent="0.35">
      <c r="A30" s="120"/>
      <c r="B30" s="120"/>
      <c r="C30" s="120"/>
      <c r="D30" s="120"/>
    </row>
    <row r="31" spans="1:4" ht="16.2" thickBot="1" x14ac:dyDescent="0.35">
      <c r="A31" s="112" t="s">
        <v>175</v>
      </c>
      <c r="B31" s="113" t="s">
        <v>176</v>
      </c>
      <c r="C31" s="248" t="s">
        <v>177</v>
      </c>
      <c r="D31" s="113" t="s">
        <v>159</v>
      </c>
    </row>
    <row r="32" spans="1:4" ht="16.2" thickBot="1" x14ac:dyDescent="0.35">
      <c r="A32" s="114" t="s">
        <v>160</v>
      </c>
      <c r="B32" s="115" t="s">
        <v>178</v>
      </c>
      <c r="C32" s="249">
        <f>'Custo por trabalhador'!B137</f>
        <v>0.2</v>
      </c>
      <c r="D32" s="135">
        <f t="shared" ref="D32:D39" si="0">($C$18+$C$27)*C32</f>
        <v>680.15447601851861</v>
      </c>
    </row>
    <row r="33" spans="1:4" ht="16.2" thickBot="1" x14ac:dyDescent="0.35">
      <c r="A33" s="114" t="s">
        <v>161</v>
      </c>
      <c r="B33" s="115" t="s">
        <v>179</v>
      </c>
      <c r="C33" s="249">
        <f>'Custo por trabalhador'!B138</f>
        <v>2.5000000000000001E-2</v>
      </c>
      <c r="D33" s="135">
        <f t="shared" si="0"/>
        <v>85.019309502314826</v>
      </c>
    </row>
    <row r="34" spans="1:4" ht="16.2" thickBot="1" x14ac:dyDescent="0.35">
      <c r="A34" s="114" t="s">
        <v>162</v>
      </c>
      <c r="B34" s="115" t="s">
        <v>180</v>
      </c>
      <c r="C34" s="118">
        <f>'Custo por trabalhador'!B139</f>
        <v>0.06</v>
      </c>
      <c r="D34" s="135">
        <f t="shared" si="0"/>
        <v>204.04634280555555</v>
      </c>
    </row>
    <row r="35" spans="1:4" ht="16.2" thickBot="1" x14ac:dyDescent="0.35">
      <c r="A35" s="114" t="s">
        <v>163</v>
      </c>
      <c r="B35" s="115" t="s">
        <v>181</v>
      </c>
      <c r="C35" s="249">
        <f>'Custo por trabalhador'!B140</f>
        <v>1.4999999999999999E-2</v>
      </c>
      <c r="D35" s="135">
        <f t="shared" si="0"/>
        <v>51.011585701388888</v>
      </c>
    </row>
    <row r="36" spans="1:4" ht="16.2" thickBot="1" x14ac:dyDescent="0.35">
      <c r="A36" s="114" t="s">
        <v>164</v>
      </c>
      <c r="B36" s="115" t="s">
        <v>182</v>
      </c>
      <c r="C36" s="249">
        <f>'Custo por trabalhador'!B141</f>
        <v>0.01</v>
      </c>
      <c r="D36" s="135">
        <f t="shared" si="0"/>
        <v>34.00772380092593</v>
      </c>
    </row>
    <row r="37" spans="1:4" ht="16.2" thickBot="1" x14ac:dyDescent="0.35">
      <c r="A37" s="114" t="s">
        <v>165</v>
      </c>
      <c r="B37" s="115" t="s">
        <v>25</v>
      </c>
      <c r="C37" s="249">
        <f>'Custo por trabalhador'!B142</f>
        <v>6.0000000000000001E-3</v>
      </c>
      <c r="D37" s="135">
        <f t="shared" si="0"/>
        <v>20.404634280555559</v>
      </c>
    </row>
    <row r="38" spans="1:4" ht="16.2" thickBot="1" x14ac:dyDescent="0.35">
      <c r="A38" s="114" t="s">
        <v>166</v>
      </c>
      <c r="B38" s="115" t="s">
        <v>26</v>
      </c>
      <c r="C38" s="249">
        <f>'Custo por trabalhador'!B143</f>
        <v>2E-3</v>
      </c>
      <c r="D38" s="135">
        <f t="shared" si="0"/>
        <v>6.8015447601851857</v>
      </c>
    </row>
    <row r="39" spans="1:4" ht="16.2" thickBot="1" x14ac:dyDescent="0.35">
      <c r="A39" s="114" t="s">
        <v>183</v>
      </c>
      <c r="B39" s="115" t="s">
        <v>27</v>
      </c>
      <c r="C39" s="249">
        <f>'Custo por trabalhador'!B144</f>
        <v>0.08</v>
      </c>
      <c r="D39" s="135">
        <f t="shared" si="0"/>
        <v>272.06179040740744</v>
      </c>
    </row>
    <row r="40" spans="1:4" ht="16.2" thickBot="1" x14ac:dyDescent="0.35">
      <c r="A40" s="425" t="s">
        <v>184</v>
      </c>
      <c r="B40" s="426"/>
      <c r="C40" s="146">
        <f>'Custo por trabalhador'!B145</f>
        <v>0.39800000000000008</v>
      </c>
      <c r="D40" s="139">
        <f>SUM(D32:D39)</f>
        <v>1353.5074072768518</v>
      </c>
    </row>
    <row r="41" spans="1:4" ht="15.6" x14ac:dyDescent="0.3">
      <c r="A41" s="120"/>
      <c r="B41" s="120"/>
      <c r="C41" s="120"/>
      <c r="D41" s="120"/>
    </row>
    <row r="42" spans="1:4" ht="15.6" x14ac:dyDescent="0.3">
      <c r="A42" s="424" t="s">
        <v>185</v>
      </c>
      <c r="B42" s="424"/>
      <c r="C42" s="424"/>
      <c r="D42" s="120"/>
    </row>
    <row r="43" spans="1:4" ht="16.2" thickBot="1" x14ac:dyDescent="0.35">
      <c r="A43" s="120"/>
      <c r="B43" s="120"/>
      <c r="C43" s="120"/>
      <c r="D43" s="120"/>
    </row>
    <row r="44" spans="1:4" ht="16.2" thickBot="1" x14ac:dyDescent="0.35">
      <c r="A44" s="112" t="s">
        <v>186</v>
      </c>
      <c r="B44" s="113" t="s">
        <v>187</v>
      </c>
      <c r="C44" s="113" t="s">
        <v>159</v>
      </c>
      <c r="D44" s="120"/>
    </row>
    <row r="45" spans="1:4" ht="16.2" thickBot="1" x14ac:dyDescent="0.35">
      <c r="A45" s="114" t="s">
        <v>160</v>
      </c>
      <c r="B45" s="115" t="str">
        <f>'Custo por trabalhador'!B279</f>
        <v>Vale Transporte - Cláusula 16ª CCT 2024/2026</v>
      </c>
      <c r="C45" s="135">
        <f>'Custo por trabalhador'!B285</f>
        <v>0</v>
      </c>
      <c r="D45" s="120"/>
    </row>
    <row r="46" spans="1:4" ht="16.2" thickBot="1" x14ac:dyDescent="0.35">
      <c r="A46" s="114" t="s">
        <v>161</v>
      </c>
      <c r="B46" s="115" t="str">
        <f>'Custo por trabalhador'!C279</f>
        <v>Vale Refeição - Cláusula 15ª CCT 2024/2026</v>
      </c>
      <c r="C46" s="135">
        <f>'Custo por trabalhador'!C285</f>
        <v>471.96069999999997</v>
      </c>
      <c r="D46" s="120"/>
    </row>
    <row r="47" spans="1:4" ht="16.2" thickBot="1" x14ac:dyDescent="0.35">
      <c r="A47" s="114" t="s">
        <v>162</v>
      </c>
      <c r="B47" s="115" t="str">
        <f>'Custo por trabalhador'!D279</f>
        <v xml:space="preserve"> Card Saúde- Abraps Bombank - Clausula 58º CCT 2024/2026</v>
      </c>
      <c r="C47" s="135">
        <f>'Custo por trabalhador'!D285</f>
        <v>83.88</v>
      </c>
      <c r="D47" s="120"/>
    </row>
    <row r="48" spans="1:4" ht="16.2" thickBot="1" x14ac:dyDescent="0.35">
      <c r="A48" s="114" t="s">
        <v>163</v>
      </c>
      <c r="B48" s="115" t="s">
        <v>167</v>
      </c>
      <c r="C48" s="135">
        <f>'Custo por trabalhador'!E283</f>
        <v>0</v>
      </c>
      <c r="D48" s="120"/>
    </row>
    <row r="49" spans="1:4" ht="16.2" thickBot="1" x14ac:dyDescent="0.35">
      <c r="A49" s="425" t="s">
        <v>12</v>
      </c>
      <c r="B49" s="426"/>
      <c r="C49" s="139">
        <f>SUM(C45:C48)</f>
        <v>555.84069999999997</v>
      </c>
      <c r="D49" s="120"/>
    </row>
    <row r="50" spans="1:4" ht="15.6" x14ac:dyDescent="0.3">
      <c r="A50" s="120"/>
      <c r="B50" s="120"/>
      <c r="C50" s="120"/>
      <c r="D50" s="120"/>
    </row>
    <row r="51" spans="1:4" ht="15.6" x14ac:dyDescent="0.3">
      <c r="A51" s="424" t="s">
        <v>188</v>
      </c>
      <c r="B51" s="424"/>
      <c r="C51" s="424"/>
      <c r="D51" s="120"/>
    </row>
    <row r="52" spans="1:4" ht="16.2" thickBot="1" x14ac:dyDescent="0.35">
      <c r="A52" s="120"/>
      <c r="B52" s="120"/>
      <c r="C52" s="120"/>
      <c r="D52" s="120"/>
    </row>
    <row r="53" spans="1:4" ht="16.2" thickBot="1" x14ac:dyDescent="0.35">
      <c r="A53" s="112">
        <v>2</v>
      </c>
      <c r="B53" s="113" t="s">
        <v>189</v>
      </c>
      <c r="C53" s="113" t="s">
        <v>159</v>
      </c>
      <c r="D53" s="120"/>
    </row>
    <row r="54" spans="1:4" ht="16.2" thickBot="1" x14ac:dyDescent="0.35">
      <c r="A54" s="114" t="s">
        <v>170</v>
      </c>
      <c r="B54" s="115" t="s">
        <v>171</v>
      </c>
      <c r="C54" s="135">
        <f>'Custo por trabalhador'!B298</f>
        <v>527.04612175925922</v>
      </c>
      <c r="D54" s="120"/>
    </row>
    <row r="55" spans="1:4" ht="16.2" thickBot="1" x14ac:dyDescent="0.35">
      <c r="A55" s="114" t="s">
        <v>175</v>
      </c>
      <c r="B55" s="115" t="s">
        <v>176</v>
      </c>
      <c r="C55" s="135">
        <f>'Custo por trabalhador'!C298</f>
        <v>1353.5074072768521</v>
      </c>
      <c r="D55" s="120"/>
    </row>
    <row r="56" spans="1:4" ht="16.2" thickBot="1" x14ac:dyDescent="0.35">
      <c r="A56" s="114" t="s">
        <v>186</v>
      </c>
      <c r="B56" s="115" t="s">
        <v>187</v>
      </c>
      <c r="C56" s="135">
        <f>'Custo por trabalhador'!D298</f>
        <v>555.84069999999997</v>
      </c>
      <c r="D56" s="120"/>
    </row>
    <row r="57" spans="1:4" ht="16.2" thickBot="1" x14ac:dyDescent="0.35">
      <c r="A57" s="425" t="s">
        <v>12</v>
      </c>
      <c r="B57" s="426"/>
      <c r="C57" s="139">
        <f>SUM(C54:C56)</f>
        <v>2436.394229036111</v>
      </c>
      <c r="D57" s="120"/>
    </row>
    <row r="58" spans="1:4" ht="15.6" x14ac:dyDescent="0.3">
      <c r="A58" s="120"/>
      <c r="B58" s="120"/>
      <c r="C58" s="120"/>
      <c r="D58" s="120"/>
    </row>
    <row r="59" spans="1:4" ht="15.6" x14ac:dyDescent="0.3">
      <c r="A59" s="413" t="s">
        <v>190</v>
      </c>
      <c r="B59" s="413"/>
      <c r="C59" s="413"/>
      <c r="D59" s="120"/>
    </row>
    <row r="60" spans="1:4" ht="16.2" thickBot="1" x14ac:dyDescent="0.35">
      <c r="A60" s="120"/>
      <c r="B60" s="120"/>
      <c r="C60" s="120"/>
      <c r="D60" s="120"/>
    </row>
    <row r="61" spans="1:4" s="120" customFormat="1" ht="16.2" thickBot="1" x14ac:dyDescent="0.35">
      <c r="A61" s="133">
        <v>3</v>
      </c>
      <c r="B61" s="195" t="s">
        <v>191</v>
      </c>
      <c r="C61" s="195" t="s">
        <v>159</v>
      </c>
      <c r="D61" s="195" t="s">
        <v>159</v>
      </c>
    </row>
    <row r="62" spans="1:4" s="120" customFormat="1" ht="15.6" x14ac:dyDescent="0.3">
      <c r="A62" s="40" t="s">
        <v>160</v>
      </c>
      <c r="B62" s="199" t="s">
        <v>192</v>
      </c>
      <c r="C62" s="200"/>
      <c r="D62" s="201">
        <f>'Custo por trabalhador'!B344</f>
        <v>3400.7723800925928</v>
      </c>
    </row>
    <row r="63" spans="1:4" s="120" customFormat="1" ht="15.6" x14ac:dyDescent="0.3">
      <c r="A63" s="23" t="s">
        <v>161</v>
      </c>
      <c r="B63" s="197" t="s">
        <v>193</v>
      </c>
      <c r="C63" s="198">
        <v>0.08</v>
      </c>
      <c r="D63" s="202">
        <f>'Custo por trabalhador'!C344</f>
        <v>272.06179040740744</v>
      </c>
    </row>
    <row r="64" spans="1:4" s="120" customFormat="1" ht="16.2" thickBot="1" x14ac:dyDescent="0.35">
      <c r="A64" s="24" t="s">
        <v>162</v>
      </c>
      <c r="B64" s="203" t="s">
        <v>194</v>
      </c>
      <c r="C64" s="221">
        <v>0.4</v>
      </c>
      <c r="D64" s="204">
        <f>'Custo por trabalhador'!D344</f>
        <v>108.82471616296299</v>
      </c>
    </row>
    <row r="65" spans="1:4" s="120" customFormat="1" ht="16.2" thickBot="1" x14ac:dyDescent="0.35">
      <c r="A65" s="208"/>
      <c r="B65" s="209" t="s">
        <v>253</v>
      </c>
      <c r="C65" s="225">
        <f>'Custo por trabalhador'!B307</f>
        <v>4.1999999999999997E-3</v>
      </c>
      <c r="D65" s="211">
        <f>'Custo por trabalhador'!F344</f>
        <v>15.882967323984444</v>
      </c>
    </row>
    <row r="66" spans="1:4" s="120" customFormat="1" ht="15.6" x14ac:dyDescent="0.3">
      <c r="A66" s="222" t="s">
        <v>163</v>
      </c>
      <c r="B66" s="223" t="s">
        <v>195</v>
      </c>
      <c r="C66" s="224"/>
      <c r="D66" s="201">
        <f>'Custo por trabalhador'!B379</f>
        <v>3956.613080092593</v>
      </c>
    </row>
    <row r="67" spans="1:4" s="120" customFormat="1" ht="15.6" x14ac:dyDescent="0.3">
      <c r="A67" s="196" t="s">
        <v>164</v>
      </c>
      <c r="B67" s="197" t="s">
        <v>196</v>
      </c>
      <c r="C67" s="205">
        <f>C40</f>
        <v>0.39800000000000008</v>
      </c>
      <c r="D67" s="202">
        <f>'Custo por trabalhador'!C379</f>
        <v>1353.5074072768521</v>
      </c>
    </row>
    <row r="68" spans="1:4" s="120" customFormat="1" ht="16.2" thickBot="1" x14ac:dyDescent="0.35">
      <c r="A68" s="206" t="s">
        <v>165</v>
      </c>
      <c r="B68" s="203" t="s">
        <v>197</v>
      </c>
      <c r="C68" s="207">
        <v>0.4</v>
      </c>
      <c r="D68" s="204">
        <f>'Custo por trabalhador'!D379</f>
        <v>108.82471616296299</v>
      </c>
    </row>
    <row r="69" spans="1:4" s="120" customFormat="1" ht="16.2" thickBot="1" x14ac:dyDescent="0.35">
      <c r="A69" s="155"/>
      <c r="B69" s="209" t="s">
        <v>254</v>
      </c>
      <c r="C69" s="210">
        <f>'Custo por trabalhador'!B308</f>
        <v>1.9400000000000001E-2</v>
      </c>
      <c r="D69" s="211">
        <f>'Custo por trabalhador'!F379</f>
        <v>105.12753694852873</v>
      </c>
    </row>
    <row r="70" spans="1:4" s="120" customFormat="1" ht="16.2" thickBot="1" x14ac:dyDescent="0.35">
      <c r="A70" s="431" t="s">
        <v>12</v>
      </c>
      <c r="B70" s="432"/>
      <c r="C70" s="139"/>
      <c r="D70" s="139">
        <f>'Custo por trabalhador'!E416</f>
        <v>121.01050427251317</v>
      </c>
    </row>
    <row r="71" spans="1:4" ht="15.6" x14ac:dyDescent="0.3">
      <c r="A71" s="120"/>
      <c r="B71" s="120"/>
      <c r="C71" s="120"/>
      <c r="D71" s="120"/>
    </row>
    <row r="72" spans="1:4" ht="15.6" x14ac:dyDescent="0.3">
      <c r="A72" s="413" t="s">
        <v>198</v>
      </c>
      <c r="B72" s="413"/>
      <c r="C72" s="413"/>
      <c r="D72" s="120"/>
    </row>
    <row r="73" spans="1:4" ht="15.6" x14ac:dyDescent="0.3">
      <c r="A73" s="120"/>
      <c r="B73" s="120"/>
      <c r="C73" s="120"/>
      <c r="D73" s="120"/>
    </row>
    <row r="74" spans="1:4" ht="15.6" x14ac:dyDescent="0.3">
      <c r="A74" s="424" t="s">
        <v>199</v>
      </c>
      <c r="B74" s="424"/>
      <c r="C74" s="424"/>
      <c r="D74" s="120"/>
    </row>
    <row r="75" spans="1:4" ht="16.2" thickBot="1" x14ac:dyDescent="0.35">
      <c r="A75" s="28"/>
      <c r="B75" s="120"/>
      <c r="C75" s="120"/>
      <c r="D75" s="120"/>
    </row>
    <row r="76" spans="1:4" ht="16.2" thickBot="1" x14ac:dyDescent="0.35">
      <c r="A76" s="112" t="s">
        <v>200</v>
      </c>
      <c r="B76" s="113" t="s">
        <v>201</v>
      </c>
      <c r="C76" s="113" t="s">
        <v>159</v>
      </c>
      <c r="D76" s="120"/>
    </row>
    <row r="77" spans="1:4" ht="16.2" thickBot="1" x14ac:dyDescent="0.35">
      <c r="A77" s="114" t="s">
        <v>160</v>
      </c>
      <c r="B77" s="115" t="s">
        <v>201</v>
      </c>
      <c r="C77" s="135">
        <f>'Custo por trabalhador'!B501</f>
        <v>303.89365437108393</v>
      </c>
      <c r="D77" s="120"/>
    </row>
    <row r="78" spans="1:4" ht="16.2" thickBot="1" x14ac:dyDescent="0.35">
      <c r="A78" s="425" t="s">
        <v>184</v>
      </c>
      <c r="B78" s="426"/>
      <c r="C78" s="139">
        <f>SUM(C77:C77)</f>
        <v>303.89365437108393</v>
      </c>
      <c r="D78" s="120"/>
    </row>
    <row r="79" spans="1:4" ht="15.6" x14ac:dyDescent="0.3">
      <c r="A79" s="120"/>
      <c r="B79" s="120"/>
      <c r="C79" s="120"/>
      <c r="D79" s="120"/>
    </row>
    <row r="80" spans="1:4" ht="15.6" x14ac:dyDescent="0.3">
      <c r="A80" s="424" t="s">
        <v>202</v>
      </c>
      <c r="B80" s="424"/>
      <c r="C80" s="424"/>
      <c r="D80" s="120"/>
    </row>
    <row r="81" spans="1:4" ht="16.2" thickBot="1" x14ac:dyDescent="0.35">
      <c r="A81" s="28"/>
      <c r="B81" s="120"/>
      <c r="C81" s="120"/>
      <c r="D81" s="120"/>
    </row>
    <row r="82" spans="1:4" ht="16.2" thickBot="1" x14ac:dyDescent="0.35">
      <c r="A82" s="112" t="s">
        <v>203</v>
      </c>
      <c r="B82" s="113" t="s">
        <v>204</v>
      </c>
      <c r="C82" s="113" t="s">
        <v>159</v>
      </c>
      <c r="D82" s="120"/>
    </row>
    <row r="83" spans="1:4" ht="16.2" thickBot="1" x14ac:dyDescent="0.35">
      <c r="A83" s="114" t="s">
        <v>160</v>
      </c>
      <c r="B83" s="115" t="s">
        <v>227</v>
      </c>
      <c r="C83" s="135">
        <f>'Custo por trabalhador'!C501</f>
        <v>355.4495988098937</v>
      </c>
      <c r="D83" s="120"/>
    </row>
    <row r="84" spans="1:4" ht="16.2" thickBot="1" x14ac:dyDescent="0.35">
      <c r="A84" s="425" t="s">
        <v>12</v>
      </c>
      <c r="B84" s="426"/>
      <c r="C84" s="139">
        <f>SUM(C83)</f>
        <v>355.4495988098937</v>
      </c>
      <c r="D84" s="120"/>
    </row>
    <row r="85" spans="1:4" ht="15.6" x14ac:dyDescent="0.3">
      <c r="A85" s="120"/>
      <c r="B85" s="120"/>
      <c r="C85" s="120"/>
      <c r="D85" s="120"/>
    </row>
    <row r="86" spans="1:4" ht="15.6" x14ac:dyDescent="0.3">
      <c r="A86" s="424" t="s">
        <v>205</v>
      </c>
      <c r="B86" s="424"/>
      <c r="C86" s="424"/>
      <c r="D86" s="120"/>
    </row>
    <row r="87" spans="1:4" ht="16.2" thickBot="1" x14ac:dyDescent="0.35">
      <c r="A87" s="28"/>
      <c r="B87" s="120"/>
      <c r="C87" s="120"/>
      <c r="D87" s="120"/>
    </row>
    <row r="88" spans="1:4" ht="16.2" thickBot="1" x14ac:dyDescent="0.35">
      <c r="A88" s="112">
        <v>4</v>
      </c>
      <c r="B88" s="113" t="s">
        <v>206</v>
      </c>
      <c r="C88" s="113" t="s">
        <v>159</v>
      </c>
      <c r="D88" s="120"/>
    </row>
    <row r="89" spans="1:4" ht="16.2" thickBot="1" x14ac:dyDescent="0.35">
      <c r="A89" s="114" t="s">
        <v>200</v>
      </c>
      <c r="B89" s="115" t="s">
        <v>201</v>
      </c>
      <c r="C89" s="136">
        <f>C78</f>
        <v>303.89365437108393</v>
      </c>
      <c r="D89" s="120"/>
    </row>
    <row r="90" spans="1:4" ht="16.2" thickBot="1" x14ac:dyDescent="0.35">
      <c r="A90" s="114" t="s">
        <v>203</v>
      </c>
      <c r="B90" s="115" t="s">
        <v>204</v>
      </c>
      <c r="C90" s="136">
        <f>C84</f>
        <v>355.4495988098937</v>
      </c>
      <c r="D90" s="120"/>
    </row>
    <row r="91" spans="1:4" ht="16.2" thickBot="1" x14ac:dyDescent="0.35">
      <c r="A91" s="425" t="s">
        <v>12</v>
      </c>
      <c r="B91" s="426"/>
      <c r="C91" s="137">
        <f>SUM(C89:C90)</f>
        <v>659.34325318097763</v>
      </c>
      <c r="D91" s="120"/>
    </row>
    <row r="92" spans="1:4" ht="15.6" x14ac:dyDescent="0.3">
      <c r="A92" s="120"/>
      <c r="B92" s="120"/>
      <c r="C92" s="120"/>
      <c r="D92" s="120"/>
    </row>
    <row r="93" spans="1:4" ht="15.6" x14ac:dyDescent="0.3">
      <c r="A93" s="413" t="s">
        <v>207</v>
      </c>
      <c r="B93" s="413"/>
      <c r="C93" s="413"/>
      <c r="D93" s="120"/>
    </row>
    <row r="94" spans="1:4" ht="16.2" thickBot="1" x14ac:dyDescent="0.35">
      <c r="A94" s="120"/>
      <c r="B94" s="120"/>
      <c r="C94" s="120"/>
      <c r="D94" s="120"/>
    </row>
    <row r="95" spans="1:4" ht="16.2" thickBot="1" x14ac:dyDescent="0.35">
      <c r="A95" s="112">
        <v>5</v>
      </c>
      <c r="B95" s="119" t="s">
        <v>120</v>
      </c>
      <c r="C95" s="113" t="s">
        <v>159</v>
      </c>
      <c r="D95" s="120"/>
    </row>
    <row r="96" spans="1:4" ht="16.2" thickBot="1" x14ac:dyDescent="0.35">
      <c r="A96" s="114" t="s">
        <v>160</v>
      </c>
      <c r="B96" s="115" t="s">
        <v>208</v>
      </c>
      <c r="C96" s="135">
        <f>'Custo por trabalhador'!B594</f>
        <v>256.16666666666669</v>
      </c>
      <c r="D96" s="120"/>
    </row>
    <row r="97" spans="1:4" ht="16.2" thickBot="1" x14ac:dyDescent="0.35">
      <c r="A97" s="114" t="s">
        <v>161</v>
      </c>
      <c r="B97" s="115" t="s">
        <v>209</v>
      </c>
      <c r="C97" s="135">
        <f>'Custo por trabalhador'!C594</f>
        <v>153.60499999999999</v>
      </c>
      <c r="D97" s="120"/>
    </row>
    <row r="98" spans="1:4" ht="16.2" thickBot="1" x14ac:dyDescent="0.35">
      <c r="A98" s="114" t="s">
        <v>162</v>
      </c>
      <c r="B98" s="115" t="s">
        <v>210</v>
      </c>
      <c r="C98" s="135">
        <f>'Custo por trabalhador'!D594</f>
        <v>154.17070833333332</v>
      </c>
      <c r="D98" s="120"/>
    </row>
    <row r="99" spans="1:4" ht="16.2" thickBot="1" x14ac:dyDescent="0.35">
      <c r="A99" s="114" t="s">
        <v>163</v>
      </c>
      <c r="B99" s="115" t="s">
        <v>258</v>
      </c>
      <c r="C99" s="135"/>
      <c r="D99" s="120"/>
    </row>
    <row r="100" spans="1:4" ht="16.2" thickBot="1" x14ac:dyDescent="0.35">
      <c r="A100" s="425" t="s">
        <v>184</v>
      </c>
      <c r="B100" s="426"/>
      <c r="C100" s="137">
        <f>SUM(C96:C99)</f>
        <v>563.94237499999997</v>
      </c>
      <c r="D100" s="120"/>
    </row>
    <row r="101" spans="1:4" ht="15.6" x14ac:dyDescent="0.3">
      <c r="A101" s="120"/>
      <c r="B101" s="120"/>
      <c r="C101" s="120"/>
      <c r="D101" s="120"/>
    </row>
    <row r="102" spans="1:4" ht="15.6" x14ac:dyDescent="0.3">
      <c r="A102" s="413" t="s">
        <v>211</v>
      </c>
      <c r="B102" s="413"/>
      <c r="C102" s="413"/>
      <c r="D102" s="120"/>
    </row>
    <row r="103" spans="1:4" ht="16.2" thickBot="1" x14ac:dyDescent="0.35">
      <c r="A103" s="120"/>
      <c r="B103" s="120"/>
      <c r="C103" s="120"/>
      <c r="D103" s="120"/>
    </row>
    <row r="104" spans="1:4" ht="16.2" thickBot="1" x14ac:dyDescent="0.35">
      <c r="A104" s="112">
        <v>6</v>
      </c>
      <c r="B104" s="119" t="s">
        <v>121</v>
      </c>
      <c r="C104" s="113" t="s">
        <v>177</v>
      </c>
      <c r="D104" s="113" t="s">
        <v>159</v>
      </c>
    </row>
    <row r="105" spans="1:4" ht="16.2" thickBot="1" x14ac:dyDescent="0.35">
      <c r="A105" s="114" t="s">
        <v>160</v>
      </c>
      <c r="B105" s="115" t="s">
        <v>138</v>
      </c>
      <c r="C105" s="117">
        <f>'Custo por trabalhador'!B601</f>
        <v>0.03</v>
      </c>
      <c r="D105" s="116"/>
    </row>
    <row r="106" spans="1:4" ht="16.2" thickBot="1" x14ac:dyDescent="0.35">
      <c r="A106" s="114" t="s">
        <v>161</v>
      </c>
      <c r="B106" s="115" t="s">
        <v>140</v>
      </c>
      <c r="C106" s="117">
        <f>'Custo por trabalhador'!B603</f>
        <v>3.2599999999999997E-2</v>
      </c>
      <c r="D106" s="116"/>
    </row>
    <row r="107" spans="1:4" ht="16.2" thickBot="1" x14ac:dyDescent="0.35">
      <c r="A107" s="114" t="s">
        <v>162</v>
      </c>
      <c r="B107" s="115" t="s">
        <v>139</v>
      </c>
      <c r="C107" s="117">
        <f>'Custo por trabalhador'!B602</f>
        <v>8.6499999999999994E-2</v>
      </c>
      <c r="D107" s="116"/>
    </row>
    <row r="108" spans="1:4" ht="16.2" thickBot="1" x14ac:dyDescent="0.35">
      <c r="A108" s="114"/>
      <c r="B108" s="115" t="s">
        <v>212</v>
      </c>
      <c r="C108" s="116"/>
      <c r="D108" s="116"/>
    </row>
    <row r="109" spans="1:4" ht="16.2" thickBot="1" x14ac:dyDescent="0.35">
      <c r="A109" s="114"/>
      <c r="B109" s="115" t="s">
        <v>213</v>
      </c>
      <c r="C109" s="116"/>
      <c r="D109" s="116"/>
    </row>
    <row r="110" spans="1:4" ht="16.2" thickBot="1" x14ac:dyDescent="0.35">
      <c r="A110" s="114"/>
      <c r="B110" s="115" t="s">
        <v>214</v>
      </c>
      <c r="C110" s="116"/>
      <c r="D110" s="116"/>
    </row>
    <row r="111" spans="1:4" ht="16.2" thickBot="1" x14ac:dyDescent="0.35">
      <c r="A111" s="425" t="s">
        <v>184</v>
      </c>
      <c r="B111" s="426"/>
      <c r="C111" s="146">
        <f>'Custo por trabalhador'!C608</f>
        <v>0.16925871268021342</v>
      </c>
      <c r="D111" s="139">
        <f>'Custo por trabalhador'!D612</f>
        <v>1021.3961788747545</v>
      </c>
    </row>
    <row r="112" spans="1:4" ht="16.2" thickBot="1" x14ac:dyDescent="0.35">
      <c r="A112" s="120"/>
      <c r="B112" s="120"/>
      <c r="C112" s="120"/>
      <c r="D112" s="120"/>
    </row>
    <row r="113" spans="1:5" s="120" customFormat="1" ht="16.2" thickBot="1" x14ac:dyDescent="0.35">
      <c r="A113" s="373" t="s">
        <v>255</v>
      </c>
      <c r="B113" s="374"/>
      <c r="C113" s="375"/>
    </row>
    <row r="114" spans="1:5" s="120" customFormat="1" ht="16.2" thickBot="1" x14ac:dyDescent="0.35">
      <c r="A114" s="215" t="s">
        <v>160</v>
      </c>
      <c r="B114" s="216" t="s">
        <v>256</v>
      </c>
      <c r="C114" s="217">
        <f>'Custo por trabalhador'!D622</f>
        <v>146.39816568716768</v>
      </c>
    </row>
    <row r="115" spans="1:5" ht="15.6" x14ac:dyDescent="0.3">
      <c r="A115" s="120"/>
      <c r="B115" s="120"/>
      <c r="C115" s="120"/>
      <c r="D115" s="120"/>
    </row>
    <row r="116" spans="1:5" ht="15.6" x14ac:dyDescent="0.3">
      <c r="A116" s="413" t="s">
        <v>215</v>
      </c>
      <c r="B116" s="413"/>
      <c r="C116" s="413"/>
      <c r="D116" s="120"/>
    </row>
    <row r="117" spans="1:5" ht="16.2" thickBot="1" x14ac:dyDescent="0.35">
      <c r="A117" s="120"/>
      <c r="B117" s="120"/>
      <c r="C117" s="120"/>
      <c r="D117" s="120"/>
    </row>
    <row r="118" spans="1:5" ht="16.2" thickBot="1" x14ac:dyDescent="0.35">
      <c r="A118" s="112"/>
      <c r="B118" s="113" t="s">
        <v>216</v>
      </c>
      <c r="C118" s="113" t="s">
        <v>159</v>
      </c>
      <c r="D118" s="120"/>
    </row>
    <row r="119" spans="1:5" ht="16.2" thickBot="1" x14ac:dyDescent="0.35">
      <c r="A119" s="121" t="s">
        <v>160</v>
      </c>
      <c r="B119" s="115" t="s">
        <v>157</v>
      </c>
      <c r="C119" s="140">
        <f>'Custo por trabalhador'!G629</f>
        <v>2873.7262583333336</v>
      </c>
      <c r="D119" s="120"/>
    </row>
    <row r="120" spans="1:5" ht="16.2" thickBot="1" x14ac:dyDescent="0.35">
      <c r="A120" s="121" t="s">
        <v>161</v>
      </c>
      <c r="B120" s="115" t="s">
        <v>168</v>
      </c>
      <c r="C120" s="140">
        <f>'Custo por trabalhador'!G630</f>
        <v>2436.394229036111</v>
      </c>
      <c r="D120" s="120"/>
    </row>
    <row r="121" spans="1:5" ht="16.2" thickBot="1" x14ac:dyDescent="0.35">
      <c r="A121" s="121" t="s">
        <v>162</v>
      </c>
      <c r="B121" s="115" t="s">
        <v>190</v>
      </c>
      <c r="C121" s="140">
        <f>'Custo por trabalhador'!G631</f>
        <v>121.01050427251317</v>
      </c>
      <c r="D121" s="120"/>
    </row>
    <row r="122" spans="1:5" ht="16.2" thickBot="1" x14ac:dyDescent="0.35">
      <c r="A122" s="121" t="s">
        <v>163</v>
      </c>
      <c r="B122" s="115" t="s">
        <v>198</v>
      </c>
      <c r="C122" s="140">
        <f>'Custo por trabalhador'!G632</f>
        <v>659.34325318097763</v>
      </c>
      <c r="D122" s="120"/>
    </row>
    <row r="123" spans="1:5" ht="16.2" thickBot="1" x14ac:dyDescent="0.35">
      <c r="A123" s="121" t="s">
        <v>164</v>
      </c>
      <c r="B123" s="115" t="s">
        <v>207</v>
      </c>
      <c r="C123" s="140">
        <f>'Custo por trabalhador'!G633</f>
        <v>563.94237499999997</v>
      </c>
      <c r="D123" s="120"/>
    </row>
    <row r="124" spans="1:5" ht="16.5" customHeight="1" thickBot="1" x14ac:dyDescent="0.35">
      <c r="A124" s="425" t="s">
        <v>217</v>
      </c>
      <c r="B124" s="426"/>
      <c r="C124" s="141">
        <f>ROUND(SUM(C119:C123),(2))</f>
        <v>6654.42</v>
      </c>
      <c r="D124" s="120"/>
    </row>
    <row r="125" spans="1:5" ht="16.2" thickBot="1" x14ac:dyDescent="0.35">
      <c r="A125" s="121" t="s">
        <v>165</v>
      </c>
      <c r="B125" s="115" t="s">
        <v>218</v>
      </c>
      <c r="C125" s="142">
        <f>'Custo por trabalhador'!G634</f>
        <v>1021.3961788747545</v>
      </c>
      <c r="D125" s="120"/>
    </row>
    <row r="126" spans="1:5" s="120" customFormat="1" ht="16.2" thickBot="1" x14ac:dyDescent="0.35">
      <c r="A126" s="133" t="s">
        <v>166</v>
      </c>
      <c r="B126" s="134" t="s">
        <v>256</v>
      </c>
      <c r="C126" s="142">
        <f>'Custo por trabalhador'!G635</f>
        <v>146.39816568716768</v>
      </c>
    </row>
    <row r="127" spans="1:5" s="120" customFormat="1" ht="16.2" thickBot="1" x14ac:dyDescent="0.35">
      <c r="A127" s="418" t="s">
        <v>219</v>
      </c>
      <c r="B127" s="419"/>
      <c r="C127" s="147">
        <f>ROUND(SUM(C119:C123,C125:C126),(2))</f>
        <v>7822.21</v>
      </c>
      <c r="E127" s="143"/>
    </row>
    <row r="128" spans="1:5" s="120" customFormat="1" ht="16.2" thickBot="1" x14ac:dyDescent="0.35">
      <c r="A128" s="418" t="s">
        <v>240</v>
      </c>
      <c r="B128" s="419"/>
      <c r="C128" s="147">
        <f>ROUND((C127),(2))*2</f>
        <v>15644.42</v>
      </c>
    </row>
  </sheetData>
  <mergeCells count="34">
    <mergeCell ref="A40:B40"/>
    <mergeCell ref="A1:D1"/>
    <mergeCell ref="A2:D2"/>
    <mergeCell ref="A3:D3"/>
    <mergeCell ref="A5:C5"/>
    <mergeCell ref="A6:C6"/>
    <mergeCell ref="A8:C8"/>
    <mergeCell ref="A18:B18"/>
    <mergeCell ref="A20:C20"/>
    <mergeCell ref="A22:C22"/>
    <mergeCell ref="A27:B27"/>
    <mergeCell ref="A29:D29"/>
    <mergeCell ref="A86:C86"/>
    <mergeCell ref="A42:C42"/>
    <mergeCell ref="A49:B49"/>
    <mergeCell ref="A51:C51"/>
    <mergeCell ref="A57:B57"/>
    <mergeCell ref="A59:C59"/>
    <mergeCell ref="A70:B70"/>
    <mergeCell ref="A72:C72"/>
    <mergeCell ref="A74:C74"/>
    <mergeCell ref="A78:B78"/>
    <mergeCell ref="A80:C80"/>
    <mergeCell ref="A84:B84"/>
    <mergeCell ref="A116:C116"/>
    <mergeCell ref="A124:B124"/>
    <mergeCell ref="A127:B127"/>
    <mergeCell ref="A128:B128"/>
    <mergeCell ref="A91:B91"/>
    <mergeCell ref="A93:C93"/>
    <mergeCell ref="A100:B100"/>
    <mergeCell ref="A102:C102"/>
    <mergeCell ref="A111:B111"/>
    <mergeCell ref="A113:C113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7"/>
  <sheetViews>
    <sheetView workbookViewId="0">
      <selection activeCell="D22" sqref="D22"/>
    </sheetView>
  </sheetViews>
  <sheetFormatPr defaultRowHeight="14.4" x14ac:dyDescent="0.3"/>
  <cols>
    <col min="1" max="1" width="10.6640625" customWidth="1"/>
    <col min="2" max="2" width="29.33203125" customWidth="1"/>
    <col min="3" max="3" width="18.33203125" customWidth="1"/>
    <col min="4" max="4" width="18.109375" customWidth="1"/>
    <col min="5" max="5" width="14.33203125" customWidth="1"/>
    <col min="6" max="6" width="16.33203125" customWidth="1"/>
    <col min="7" max="7" width="15.44140625" customWidth="1"/>
  </cols>
  <sheetData>
    <row r="1" spans="1:7" x14ac:dyDescent="0.3">
      <c r="A1" t="s">
        <v>109</v>
      </c>
    </row>
    <row r="2" spans="1:7" ht="15" thickBot="1" x14ac:dyDescent="0.35"/>
    <row r="3" spans="1:7" ht="15" thickBot="1" x14ac:dyDescent="0.35">
      <c r="A3" s="445" t="s">
        <v>306</v>
      </c>
      <c r="B3" s="446"/>
      <c r="C3" s="446"/>
      <c r="D3" s="446"/>
      <c r="E3" s="446"/>
      <c r="F3" s="446"/>
      <c r="G3" s="447"/>
    </row>
    <row r="4" spans="1:7" ht="28.2" thickBot="1" x14ac:dyDescent="0.35">
      <c r="A4" s="259" t="s">
        <v>144</v>
      </c>
      <c r="B4" s="260" t="s">
        <v>267</v>
      </c>
      <c r="C4" s="260" t="s">
        <v>268</v>
      </c>
      <c r="D4" s="260" t="s">
        <v>269</v>
      </c>
      <c r="E4" s="261" t="s">
        <v>270</v>
      </c>
      <c r="F4" s="262" t="s">
        <v>271</v>
      </c>
      <c r="G4" s="263" t="s">
        <v>283</v>
      </c>
    </row>
    <row r="5" spans="1:7" x14ac:dyDescent="0.3">
      <c r="A5" s="255">
        <v>1</v>
      </c>
      <c r="B5" s="254" t="s">
        <v>147</v>
      </c>
      <c r="C5" s="250" t="s">
        <v>272</v>
      </c>
      <c r="D5" s="250">
        <v>4</v>
      </c>
      <c r="E5" s="251">
        <v>133.25</v>
      </c>
      <c r="F5" s="252">
        <f>D5*E5</f>
        <v>533</v>
      </c>
      <c r="G5" s="264">
        <f>F5/12</f>
        <v>44.416666666666664</v>
      </c>
    </row>
    <row r="6" spans="1:7" x14ac:dyDescent="0.3">
      <c r="A6" s="255">
        <f t="shared" ref="A6:A14" si="0">A5+1</f>
        <v>2</v>
      </c>
      <c r="B6" s="254" t="s">
        <v>148</v>
      </c>
      <c r="C6" s="250" t="s">
        <v>272</v>
      </c>
      <c r="D6" s="250">
        <v>4</v>
      </c>
      <c r="E6" s="251">
        <v>150.79</v>
      </c>
      <c r="F6" s="253">
        <f>D6*E6</f>
        <v>603.16</v>
      </c>
      <c r="G6" s="265">
        <f>F6/12</f>
        <v>50.263333333333328</v>
      </c>
    </row>
    <row r="7" spans="1:7" x14ac:dyDescent="0.3">
      <c r="A7" s="255">
        <f t="shared" si="0"/>
        <v>3</v>
      </c>
      <c r="B7" s="254" t="s">
        <v>275</v>
      </c>
      <c r="C7" s="250" t="s">
        <v>273</v>
      </c>
      <c r="D7" s="250">
        <v>2</v>
      </c>
      <c r="E7" s="251">
        <v>306.23</v>
      </c>
      <c r="F7" s="253">
        <f t="shared" ref="F7:F14" si="1">D7*E7</f>
        <v>612.46</v>
      </c>
      <c r="G7" s="265">
        <f t="shared" ref="G7:G14" si="2">F7/12</f>
        <v>51.038333333333334</v>
      </c>
    </row>
    <row r="8" spans="1:7" x14ac:dyDescent="0.3">
      <c r="A8" s="255">
        <f t="shared" si="0"/>
        <v>4</v>
      </c>
      <c r="B8" s="254" t="s">
        <v>276</v>
      </c>
      <c r="C8" s="250" t="s">
        <v>272</v>
      </c>
      <c r="D8" s="250">
        <v>2</v>
      </c>
      <c r="E8" s="251">
        <v>41.33</v>
      </c>
      <c r="F8" s="253">
        <f t="shared" si="1"/>
        <v>82.66</v>
      </c>
      <c r="G8" s="265">
        <f t="shared" si="2"/>
        <v>6.8883333333333328</v>
      </c>
    </row>
    <row r="9" spans="1:7" x14ac:dyDescent="0.3">
      <c r="A9" s="255">
        <f t="shared" si="0"/>
        <v>5</v>
      </c>
      <c r="B9" s="254" t="s">
        <v>277</v>
      </c>
      <c r="C9" s="250" t="s">
        <v>272</v>
      </c>
      <c r="D9" s="250">
        <v>4</v>
      </c>
      <c r="E9" s="251">
        <v>38.049999999999997</v>
      </c>
      <c r="F9" s="253">
        <f t="shared" si="1"/>
        <v>152.19999999999999</v>
      </c>
      <c r="G9" s="265">
        <f t="shared" si="2"/>
        <v>12.683333333333332</v>
      </c>
    </row>
    <row r="10" spans="1:7" x14ac:dyDescent="0.3">
      <c r="A10" s="255">
        <f t="shared" si="0"/>
        <v>6</v>
      </c>
      <c r="B10" s="254" t="s">
        <v>278</v>
      </c>
      <c r="C10" s="250" t="s">
        <v>272</v>
      </c>
      <c r="D10" s="250">
        <v>2</v>
      </c>
      <c r="E10" s="251">
        <v>259.7</v>
      </c>
      <c r="F10" s="253">
        <f t="shared" si="1"/>
        <v>519.4</v>
      </c>
      <c r="G10" s="265">
        <f t="shared" si="2"/>
        <v>43.283333333333331</v>
      </c>
    </row>
    <row r="11" spans="1:7" x14ac:dyDescent="0.3">
      <c r="A11" s="255">
        <f t="shared" si="0"/>
        <v>7</v>
      </c>
      <c r="B11" s="254" t="s">
        <v>279</v>
      </c>
      <c r="C11" s="250" t="s">
        <v>273</v>
      </c>
      <c r="D11" s="250">
        <v>4</v>
      </c>
      <c r="E11" s="251">
        <v>2</v>
      </c>
      <c r="F11" s="253">
        <f t="shared" si="1"/>
        <v>8</v>
      </c>
      <c r="G11" s="265">
        <f t="shared" si="2"/>
        <v>0.66666666666666663</v>
      </c>
    </row>
    <row r="12" spans="1:7" x14ac:dyDescent="0.3">
      <c r="A12" s="255">
        <f t="shared" si="0"/>
        <v>8</v>
      </c>
      <c r="B12" s="254" t="s">
        <v>280</v>
      </c>
      <c r="C12" s="250" t="s">
        <v>272</v>
      </c>
      <c r="D12" s="250">
        <v>2</v>
      </c>
      <c r="E12" s="251">
        <v>9.56</v>
      </c>
      <c r="F12" s="253">
        <f t="shared" si="1"/>
        <v>19.12</v>
      </c>
      <c r="G12" s="265">
        <f t="shared" si="2"/>
        <v>1.5933333333333335</v>
      </c>
    </row>
    <row r="13" spans="1:7" x14ac:dyDescent="0.3">
      <c r="A13" s="255">
        <f t="shared" si="0"/>
        <v>9</v>
      </c>
      <c r="B13" s="254" t="s">
        <v>281</v>
      </c>
      <c r="C13" s="250" t="s">
        <v>272</v>
      </c>
      <c r="D13" s="250">
        <v>2</v>
      </c>
      <c r="E13" s="251">
        <v>28.38</v>
      </c>
      <c r="F13" s="253">
        <f t="shared" si="1"/>
        <v>56.76</v>
      </c>
      <c r="G13" s="265">
        <f t="shared" si="2"/>
        <v>4.7299999999999995</v>
      </c>
    </row>
    <row r="14" spans="1:7" ht="15" thickBot="1" x14ac:dyDescent="0.35">
      <c r="A14" s="297">
        <f t="shared" si="0"/>
        <v>10</v>
      </c>
      <c r="B14" s="298" t="s">
        <v>282</v>
      </c>
      <c r="C14" s="299" t="s">
        <v>272</v>
      </c>
      <c r="D14" s="299">
        <v>2</v>
      </c>
      <c r="E14" s="313">
        <v>243.62</v>
      </c>
      <c r="F14" s="256">
        <f t="shared" si="1"/>
        <v>487.24</v>
      </c>
      <c r="G14" s="266">
        <f t="shared" si="2"/>
        <v>40.603333333333332</v>
      </c>
    </row>
    <row r="15" spans="1:7" ht="15" thickBot="1" x14ac:dyDescent="0.35">
      <c r="A15" s="309"/>
      <c r="B15" s="310" t="s">
        <v>12</v>
      </c>
      <c r="C15" s="311"/>
      <c r="D15" s="310"/>
      <c r="E15" s="312">
        <f>SUM(E5:E14)</f>
        <v>1212.9099999999999</v>
      </c>
      <c r="F15" s="320">
        <f>SUM(F5:F14)</f>
        <v>3074</v>
      </c>
      <c r="G15" s="321">
        <f>SUM(G5:G14)</f>
        <v>256.16666666666663</v>
      </c>
    </row>
    <row r="16" spans="1:7" ht="15.6" x14ac:dyDescent="0.3">
      <c r="A16" s="441" t="s">
        <v>284</v>
      </c>
      <c r="B16" s="442"/>
      <c r="C16" s="442"/>
      <c r="D16" s="442"/>
      <c r="E16" s="442"/>
      <c r="F16" s="442"/>
      <c r="G16" s="267">
        <f>F15</f>
        <v>3074</v>
      </c>
    </row>
    <row r="17" spans="1:7" ht="16.2" thickBot="1" x14ac:dyDescent="0.35">
      <c r="A17" s="443" t="s">
        <v>274</v>
      </c>
      <c r="B17" s="444"/>
      <c r="C17" s="444"/>
      <c r="D17" s="444"/>
      <c r="E17" s="444"/>
      <c r="F17" s="444"/>
      <c r="G17" s="268">
        <f>G16/12</f>
        <v>256.16666666666669</v>
      </c>
    </row>
  </sheetData>
  <mergeCells count="3">
    <mergeCell ref="A16:F16"/>
    <mergeCell ref="A17:F17"/>
    <mergeCell ref="A3:G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Resumo - Estimativa de Preço</vt:lpstr>
      <vt:lpstr>Custo por trabalhador</vt:lpstr>
      <vt:lpstr>Posto D-12x36</vt:lpstr>
      <vt:lpstr>Posto N-12x36</vt:lpstr>
      <vt:lpstr>Posto MOT CG D-12x36</vt:lpstr>
      <vt:lpstr>Posto MOT CG N-12x36</vt:lpstr>
      <vt:lpstr>Posto MOT TER D-12x36</vt:lpstr>
      <vt:lpstr>Posto MOT TER N-12x36</vt:lpstr>
      <vt:lpstr>Uniformes</vt:lpstr>
      <vt:lpstr>Materiais</vt:lpstr>
      <vt:lpstr>Equipamentos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Pedro Henrique Lima Coelho</cp:lastModifiedBy>
  <dcterms:created xsi:type="dcterms:W3CDTF">2018-01-23T19:35:16Z</dcterms:created>
  <dcterms:modified xsi:type="dcterms:W3CDTF">2024-07-09T22:53:02Z</dcterms:modified>
</cp:coreProperties>
</file>