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E:\Processos Licitatórios\Licitação Vigilância\LICITAÇÃO _ PLANILHA\"/>
    </mc:Choice>
  </mc:AlternateContent>
  <xr:revisionPtr revIDLastSave="0" documentId="13_ncr:1_{3F437D51-CF3A-4E37-AC93-ED9E3DE33AEF}" xr6:coauthVersionLast="47" xr6:coauthVersionMax="47" xr10:uidLastSave="{00000000-0000-0000-0000-000000000000}"/>
  <bookViews>
    <workbookView xWindow="-120" yWindow="-120" windowWidth="29040" windowHeight="15840" tabRatio="781" xr2:uid="{00000000-000D-0000-FFFF-FFFF00000000}"/>
  </bookViews>
  <sheets>
    <sheet name="Resumo - Estimativa de Preço" sheetId="6" r:id="rId1"/>
    <sheet name="Custo por trabalhador" sheetId="2" r:id="rId2"/>
    <sheet name="Posto D-12x36" sheetId="3" r:id="rId3"/>
    <sheet name="Posto N-12x36" sheetId="4" r:id="rId4"/>
    <sheet name="Posto MOT D-12x36" sheetId="11" r:id="rId5"/>
    <sheet name="Posto MOT N-12x36" sheetId="12" r:id="rId6"/>
    <sheet name="Uniformes" sheetId="8" r:id="rId7"/>
    <sheet name="Materiais" sheetId="9" r:id="rId8"/>
    <sheet name="Equipamentos" sheetId="10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78" i="2" l="1"/>
  <c r="B177" i="2"/>
  <c r="B176" i="2"/>
  <c r="B175" i="2"/>
  <c r="B174" i="2"/>
  <c r="B173" i="2"/>
  <c r="B11" i="12"/>
  <c r="B12" i="12"/>
  <c r="B13" i="12"/>
  <c r="B14" i="12"/>
  <c r="B15" i="12"/>
  <c r="B16" i="12"/>
  <c r="C32" i="12"/>
  <c r="C33" i="12"/>
  <c r="C34" i="12"/>
  <c r="C35" i="12"/>
  <c r="C36" i="12"/>
  <c r="C37" i="12"/>
  <c r="C38" i="12"/>
  <c r="C39" i="12"/>
  <c r="B45" i="12"/>
  <c r="B46" i="12"/>
  <c r="B47" i="12"/>
  <c r="C65" i="12"/>
  <c r="C69" i="12"/>
  <c r="C105" i="12"/>
  <c r="C106" i="12"/>
  <c r="C107" i="12"/>
  <c r="B11" i="11"/>
  <c r="B12" i="11"/>
  <c r="B13" i="11"/>
  <c r="B14" i="11"/>
  <c r="B15" i="11"/>
  <c r="C15" i="11"/>
  <c r="B16" i="11"/>
  <c r="C32" i="11"/>
  <c r="C33" i="11"/>
  <c r="C34" i="11"/>
  <c r="C35" i="11"/>
  <c r="C36" i="11"/>
  <c r="C37" i="11"/>
  <c r="C38" i="11"/>
  <c r="C39" i="11"/>
  <c r="B45" i="11"/>
  <c r="B46" i="11"/>
  <c r="B47" i="11"/>
  <c r="C65" i="11"/>
  <c r="C69" i="11"/>
  <c r="C105" i="11"/>
  <c r="C106" i="11"/>
  <c r="C107" i="11"/>
  <c r="B47" i="4"/>
  <c r="B47" i="3"/>
  <c r="B46" i="4"/>
  <c r="B46" i="3"/>
  <c r="B45" i="4"/>
  <c r="B45" i="3"/>
  <c r="C13" i="4" l="1"/>
  <c r="C15" i="3"/>
  <c r="C13" i="3"/>
  <c r="C480" i="2" l="1"/>
  <c r="D22" i="9"/>
  <c r="F22" i="9" s="1"/>
  <c r="G22" i="9" s="1"/>
  <c r="A480" i="2"/>
  <c r="B480" i="2" l="1"/>
  <c r="G23" i="9"/>
  <c r="F23" i="9"/>
  <c r="G24" i="9" s="1"/>
  <c r="G25" i="9" s="1"/>
  <c r="B500" i="2"/>
  <c r="D500" i="2"/>
  <c r="C500" i="2"/>
  <c r="A500" i="2"/>
  <c r="E16" i="10"/>
  <c r="F15" i="10"/>
  <c r="E500" i="2" s="1"/>
  <c r="E501" i="2" s="1"/>
  <c r="F16" i="10" l="1"/>
  <c r="F17" i="10" s="1"/>
  <c r="F18" i="10" s="1"/>
  <c r="D7" i="6"/>
  <c r="D8" i="6"/>
  <c r="C10" i="6"/>
  <c r="C13" i="6" s="1"/>
  <c r="D9" i="6"/>
  <c r="D6" i="6"/>
  <c r="B165" i="2"/>
  <c r="D10" i="6" l="1"/>
  <c r="C14" i="6" s="1"/>
  <c r="F7" i="10" l="1"/>
  <c r="E496" i="2" s="1"/>
  <c r="F6" i="10"/>
  <c r="E495" i="2" s="1"/>
  <c r="F5" i="10"/>
  <c r="E494" i="2" s="1"/>
  <c r="E497" i="2" l="1"/>
  <c r="B507" i="2" l="1"/>
  <c r="B510" i="2"/>
  <c r="B506" i="2"/>
  <c r="B509" i="2"/>
  <c r="B505" i="2"/>
  <c r="B508" i="2"/>
  <c r="A496" i="2" l="1"/>
  <c r="B496" i="2"/>
  <c r="C496" i="2"/>
  <c r="D496" i="2"/>
  <c r="D495" i="2"/>
  <c r="C495" i="2"/>
  <c r="B495" i="2"/>
  <c r="A495" i="2"/>
  <c r="D494" i="2"/>
  <c r="C494" i="2"/>
  <c r="B494" i="2"/>
  <c r="A494" i="2"/>
  <c r="B468" i="2"/>
  <c r="C468" i="2"/>
  <c r="B469" i="2"/>
  <c r="C469" i="2"/>
  <c r="B470" i="2"/>
  <c r="C470" i="2"/>
  <c r="B471" i="2"/>
  <c r="C471" i="2"/>
  <c r="B472" i="2"/>
  <c r="C472" i="2"/>
  <c r="B473" i="2"/>
  <c r="C473" i="2"/>
  <c r="B474" i="2"/>
  <c r="C474" i="2"/>
  <c r="B475" i="2"/>
  <c r="C475" i="2"/>
  <c r="C467" i="2"/>
  <c r="C466" i="2"/>
  <c r="B467" i="2"/>
  <c r="B466" i="2"/>
  <c r="A473" i="2"/>
  <c r="A474" i="2"/>
  <c r="A475" i="2"/>
  <c r="A468" i="2"/>
  <c r="A469" i="2"/>
  <c r="A470" i="2"/>
  <c r="A471" i="2"/>
  <c r="A472" i="2"/>
  <c r="A467" i="2"/>
  <c r="A466" i="2"/>
  <c r="B445" i="2"/>
  <c r="C445" i="2"/>
  <c r="B446" i="2"/>
  <c r="C446" i="2"/>
  <c r="B447" i="2"/>
  <c r="C447" i="2"/>
  <c r="B448" i="2"/>
  <c r="C448" i="2"/>
  <c r="B449" i="2"/>
  <c r="C449" i="2"/>
  <c r="B450" i="2"/>
  <c r="C450" i="2"/>
  <c r="B451" i="2"/>
  <c r="C451" i="2"/>
  <c r="B452" i="2"/>
  <c r="C452" i="2"/>
  <c r="C444" i="2"/>
  <c r="C443" i="2"/>
  <c r="B444" i="2"/>
  <c r="B443" i="2"/>
  <c r="A451" i="2"/>
  <c r="A452" i="2"/>
  <c r="A445" i="2"/>
  <c r="A446" i="2"/>
  <c r="A447" i="2"/>
  <c r="A448" i="2"/>
  <c r="A449" i="2"/>
  <c r="A450" i="2"/>
  <c r="A444" i="2"/>
  <c r="A443" i="2"/>
  <c r="A6" i="10"/>
  <c r="A7" i="10" s="1"/>
  <c r="E8" i="10"/>
  <c r="F13" i="9"/>
  <c r="G13" i="9" s="1"/>
  <c r="F12" i="9"/>
  <c r="G12" i="9" s="1"/>
  <c r="E15" i="9"/>
  <c r="F14" i="9"/>
  <c r="G14" i="9" s="1"/>
  <c r="F11" i="9"/>
  <c r="G11" i="9" s="1"/>
  <c r="F10" i="9"/>
  <c r="G10" i="9" s="1"/>
  <c r="F9" i="9"/>
  <c r="G9" i="9" s="1"/>
  <c r="F8" i="9"/>
  <c r="G8" i="9" s="1"/>
  <c r="F7" i="9"/>
  <c r="G7" i="9" s="1"/>
  <c r="F6" i="9"/>
  <c r="G6" i="9" s="1"/>
  <c r="A6" i="9"/>
  <c r="A7" i="9" s="1"/>
  <c r="A8" i="9" s="1"/>
  <c r="A9" i="9" s="1"/>
  <c r="A10" i="9" s="1"/>
  <c r="A11" i="9" s="1"/>
  <c r="A12" i="9" s="1"/>
  <c r="A13" i="9" s="1"/>
  <c r="A14" i="9" s="1"/>
  <c r="F5" i="9"/>
  <c r="G5" i="9" s="1"/>
  <c r="F7" i="8"/>
  <c r="G7" i="8" s="1"/>
  <c r="F8" i="8"/>
  <c r="G8" i="8" s="1"/>
  <c r="F9" i="8"/>
  <c r="G9" i="8" s="1"/>
  <c r="F10" i="8"/>
  <c r="G10" i="8" s="1"/>
  <c r="F11" i="8"/>
  <c r="G11" i="8" s="1"/>
  <c r="F12" i="8"/>
  <c r="G12" i="8" s="1"/>
  <c r="F13" i="8"/>
  <c r="G13" i="8" s="1"/>
  <c r="F14" i="8"/>
  <c r="G14" i="8" s="1"/>
  <c r="F6" i="8"/>
  <c r="G6" i="8" s="1"/>
  <c r="F5" i="8"/>
  <c r="G5" i="8" s="1"/>
  <c r="E15" i="8"/>
  <c r="A6" i="8"/>
  <c r="A7" i="8" s="1"/>
  <c r="A8" i="8" s="1"/>
  <c r="A9" i="8" s="1"/>
  <c r="A10" i="8" s="1"/>
  <c r="A11" i="8" s="1"/>
  <c r="A12" i="8" s="1"/>
  <c r="A13" i="8" s="1"/>
  <c r="A14" i="8" s="1"/>
  <c r="G15" i="8" l="1"/>
  <c r="D470" i="2"/>
  <c r="D468" i="2"/>
  <c r="D475" i="2"/>
  <c r="D473" i="2"/>
  <c r="D466" i="2"/>
  <c r="D467" i="2"/>
  <c r="D480" i="2"/>
  <c r="D481" i="2" s="1"/>
  <c r="D474" i="2"/>
  <c r="D472" i="2"/>
  <c r="D471" i="2"/>
  <c r="D469" i="2"/>
  <c r="D443" i="2"/>
  <c r="D448" i="2"/>
  <c r="D449" i="2"/>
  <c r="D444" i="2"/>
  <c r="D452" i="2"/>
  <c r="D450" i="2"/>
  <c r="D447" i="2"/>
  <c r="D445" i="2"/>
  <c r="D451" i="2"/>
  <c r="D446" i="2"/>
  <c r="F8" i="10"/>
  <c r="G15" i="9"/>
  <c r="F15" i="9"/>
  <c r="F15" i="8"/>
  <c r="G16" i="8" s="1"/>
  <c r="G17" i="8" s="1"/>
  <c r="D476" i="2" l="1"/>
  <c r="B487" i="2" s="1"/>
  <c r="G16" i="9"/>
  <c r="G17" i="9" s="1"/>
  <c r="F9" i="10"/>
  <c r="F10" i="10" s="1"/>
  <c r="D453" i="2"/>
  <c r="B490" i="2" l="1"/>
  <c r="C490" i="2" s="1"/>
  <c r="C519" i="2" s="1"/>
  <c r="B485" i="2"/>
  <c r="C485" i="2" s="1"/>
  <c r="C514" i="2" s="1"/>
  <c r="C97" i="3" s="1"/>
  <c r="B489" i="2"/>
  <c r="C489" i="2" s="1"/>
  <c r="C518" i="2" s="1"/>
  <c r="B486" i="2"/>
  <c r="C486" i="2" s="1"/>
  <c r="C515" i="2" s="1"/>
  <c r="C97" i="4" s="1"/>
  <c r="B488" i="2"/>
  <c r="C488" i="2" s="1"/>
  <c r="C517" i="2" s="1"/>
  <c r="C97" i="12" s="1"/>
  <c r="C487" i="2"/>
  <c r="C516" i="2" s="1"/>
  <c r="C97" i="11" s="1"/>
  <c r="B460" i="2"/>
  <c r="C460" i="2" s="1"/>
  <c r="B461" i="2"/>
  <c r="C461" i="2" s="1"/>
  <c r="B458" i="2"/>
  <c r="C458" i="2" s="1"/>
  <c r="B462" i="2"/>
  <c r="C462" i="2" s="1"/>
  <c r="B459" i="2"/>
  <c r="C459" i="2" s="1"/>
  <c r="B457" i="2"/>
  <c r="C457" i="2" s="1"/>
  <c r="B47" i="2" l="1"/>
  <c r="B46" i="2"/>
  <c r="B42" i="2"/>
  <c r="B41" i="2"/>
  <c r="E366" i="2"/>
  <c r="C33" i="4"/>
  <c r="C34" i="4"/>
  <c r="C35" i="4"/>
  <c r="C36" i="4"/>
  <c r="C37" i="4"/>
  <c r="C38" i="4"/>
  <c r="C39" i="4"/>
  <c r="C32" i="4"/>
  <c r="B16" i="4"/>
  <c r="B15" i="4"/>
  <c r="B14" i="4"/>
  <c r="B13" i="4"/>
  <c r="B12" i="4"/>
  <c r="B11" i="4"/>
  <c r="C33" i="3"/>
  <c r="C34" i="3"/>
  <c r="C35" i="3"/>
  <c r="C36" i="3"/>
  <c r="C37" i="3"/>
  <c r="C38" i="3"/>
  <c r="C39" i="3"/>
  <c r="C32" i="3"/>
  <c r="B14" i="3"/>
  <c r="B16" i="3"/>
  <c r="B15" i="3"/>
  <c r="B12" i="3"/>
  <c r="B13" i="3"/>
  <c r="B11" i="3"/>
  <c r="D226" i="2"/>
  <c r="D224" i="2"/>
  <c r="D223" i="2"/>
  <c r="D227" i="2" s="1"/>
  <c r="B168" i="2"/>
  <c r="B166" i="2"/>
  <c r="B24" i="2"/>
  <c r="B23" i="2"/>
  <c r="B12" i="2"/>
  <c r="D225" i="2" l="1"/>
  <c r="B194" i="2"/>
  <c r="B195" i="2" s="1"/>
  <c r="B196" i="2" s="1"/>
  <c r="B197" i="2" s="1"/>
  <c r="B198" i="2" s="1"/>
  <c r="E327" i="2" l="1"/>
  <c r="E326" i="2"/>
  <c r="E325" i="2"/>
  <c r="E324" i="2"/>
  <c r="E323" i="2"/>
  <c r="E322" i="2"/>
  <c r="C533" i="2"/>
  <c r="C532" i="2"/>
  <c r="C508" i="2"/>
  <c r="D508" i="2" s="1"/>
  <c r="D517" i="2" s="1"/>
  <c r="C98" i="12" s="1"/>
  <c r="C507" i="2"/>
  <c r="D507" i="2" s="1"/>
  <c r="D516" i="2" s="1"/>
  <c r="C98" i="11" s="1"/>
  <c r="B517" i="2"/>
  <c r="C96" i="12" s="1"/>
  <c r="B516" i="2"/>
  <c r="C96" i="11" s="1"/>
  <c r="C100" i="11" s="1"/>
  <c r="C345" i="2"/>
  <c r="C344" i="2"/>
  <c r="C403" i="2"/>
  <c r="C316" i="2"/>
  <c r="E296" i="2"/>
  <c r="E295" i="2"/>
  <c r="E294" i="2"/>
  <c r="C287" i="2"/>
  <c r="E245" i="2"/>
  <c r="C48" i="11" s="1"/>
  <c r="E244" i="2"/>
  <c r="C48" i="4" s="1"/>
  <c r="D245" i="2"/>
  <c r="C47" i="11" s="1"/>
  <c r="C196" i="2"/>
  <c r="D196" i="2" s="1"/>
  <c r="B214" i="2" s="1"/>
  <c r="C195" i="2"/>
  <c r="D195" i="2" s="1"/>
  <c r="B213" i="2" s="1"/>
  <c r="C167" i="2"/>
  <c r="E166" i="2"/>
  <c r="B184" i="2" s="1"/>
  <c r="C145" i="2"/>
  <c r="C144" i="2"/>
  <c r="C136" i="2"/>
  <c r="C135" i="2"/>
  <c r="D103" i="2"/>
  <c r="C103" i="2"/>
  <c r="D102" i="2"/>
  <c r="C102" i="2"/>
  <c r="C94" i="2"/>
  <c r="C93" i="2"/>
  <c r="C85" i="2"/>
  <c r="C84" i="2"/>
  <c r="C72" i="2"/>
  <c r="C12" i="12" s="1"/>
  <c r="C71" i="2"/>
  <c r="C12" i="11" s="1"/>
  <c r="C61" i="2"/>
  <c r="C60" i="2"/>
  <c r="C100" i="12" l="1"/>
  <c r="E516" i="2"/>
  <c r="D554" i="2" s="1"/>
  <c r="C123" i="11" s="1"/>
  <c r="E517" i="2"/>
  <c r="E554" i="2" s="1"/>
  <c r="C123" i="12" s="1"/>
  <c r="D244" i="2"/>
  <c r="C47" i="4" s="1"/>
  <c r="C69" i="4"/>
  <c r="C65" i="4"/>
  <c r="C69" i="3"/>
  <c r="C65" i="3"/>
  <c r="E298" i="2" l="1"/>
  <c r="E297" i="2"/>
  <c r="E293" i="2"/>
  <c r="C62" i="2" l="1"/>
  <c r="C63" i="2"/>
  <c r="C59" i="2"/>
  <c r="C58" i="2"/>
  <c r="B202" i="2" l="1"/>
  <c r="B205" i="2"/>
  <c r="D205" i="2" s="1"/>
  <c r="C214" i="2" s="1"/>
  <c r="D214" i="2" s="1"/>
  <c r="B204" i="2"/>
  <c r="D204" i="2" s="1"/>
  <c r="C213" i="2" s="1"/>
  <c r="D213" i="2" s="1"/>
  <c r="E176" i="2"/>
  <c r="C185" i="2" s="1"/>
  <c r="B203" i="2"/>
  <c r="E175" i="2"/>
  <c r="C184" i="2" s="1"/>
  <c r="D184" i="2" s="1"/>
  <c r="B31" i="2"/>
  <c r="B71" i="2"/>
  <c r="C11" i="11" s="1"/>
  <c r="B33" i="2"/>
  <c r="D33" i="2" s="1"/>
  <c r="B72" i="2"/>
  <c r="C11" i="12" s="1"/>
  <c r="B32" i="2"/>
  <c r="D32" i="2" s="1"/>
  <c r="B206" i="2"/>
  <c r="B207" i="2" s="1"/>
  <c r="B34" i="2"/>
  <c r="B30" i="2"/>
  <c r="B35" i="2"/>
  <c r="C314" i="2"/>
  <c r="C285" i="2"/>
  <c r="C244" i="2" l="1"/>
  <c r="C46" i="4" s="1"/>
  <c r="B244" i="2"/>
  <c r="C45" i="4" s="1"/>
  <c r="C245" i="2"/>
  <c r="C46" i="11" s="1"/>
  <c r="E72" i="2"/>
  <c r="C14" i="12" s="1"/>
  <c r="D24" i="2"/>
  <c r="D72" i="2" s="1"/>
  <c r="C13" i="12" s="1"/>
  <c r="E71" i="2"/>
  <c r="C14" i="11" s="1"/>
  <c r="D23" i="2"/>
  <c r="D71" i="2" s="1"/>
  <c r="C13" i="11" s="1"/>
  <c r="C107" i="4"/>
  <c r="C106" i="4"/>
  <c r="C105" i="4"/>
  <c r="C106" i="3"/>
  <c r="C107" i="3"/>
  <c r="C105" i="3"/>
  <c r="C49" i="4" l="1"/>
  <c r="F244" i="2"/>
  <c r="D255" i="2" s="1"/>
  <c r="C56" i="11" s="1"/>
  <c r="C510" i="2" l="1"/>
  <c r="D510" i="2" s="1"/>
  <c r="D519" i="2" s="1"/>
  <c r="C509" i="2"/>
  <c r="D509" i="2" s="1"/>
  <c r="D518" i="2" s="1"/>
  <c r="C506" i="2"/>
  <c r="D506" i="2" s="1"/>
  <c r="D515" i="2" s="1"/>
  <c r="C505" i="2"/>
  <c r="D505" i="2" s="1"/>
  <c r="D514" i="2" s="1"/>
  <c r="B515" i="2"/>
  <c r="C96" i="4" s="1"/>
  <c r="B514" i="2"/>
  <c r="E515" i="2" l="1"/>
  <c r="C554" i="2" s="1"/>
  <c r="C123" i="4" s="1"/>
  <c r="C98" i="4"/>
  <c r="C96" i="3"/>
  <c r="E514" i="2"/>
  <c r="B554" i="2" s="1"/>
  <c r="C123" i="3" s="1"/>
  <c r="C98" i="3"/>
  <c r="C100" i="4"/>
  <c r="C342" i="2"/>
  <c r="D42" i="2" l="1"/>
  <c r="B167" i="2" l="1"/>
  <c r="E167" i="2" s="1"/>
  <c r="B185" i="2" s="1"/>
  <c r="D185" i="2" s="1"/>
  <c r="B245" i="2" s="1"/>
  <c r="C45" i="11" s="1"/>
  <c r="C49" i="11" s="1"/>
  <c r="B169" i="2"/>
  <c r="C133" i="2"/>
  <c r="F245" i="2" l="1"/>
  <c r="D256" i="2" s="1"/>
  <c r="C56" i="12" s="1"/>
  <c r="D31" i="2"/>
  <c r="D30" i="2"/>
  <c r="B58" i="2" l="1"/>
  <c r="D58" i="2" s="1"/>
  <c r="G69" i="2" s="1"/>
  <c r="C16" i="3" s="1"/>
  <c r="B60" i="2"/>
  <c r="D60" i="2" s="1"/>
  <c r="G71" i="2" s="1"/>
  <c r="C16" i="11" s="1"/>
  <c r="C18" i="11" s="1"/>
  <c r="D35" i="2"/>
  <c r="D34" i="2"/>
  <c r="B62" i="2" s="1"/>
  <c r="D62" i="2" s="1"/>
  <c r="G73" i="2" s="1"/>
  <c r="B518" i="2"/>
  <c r="E518" i="2" s="1"/>
  <c r="B519" i="2"/>
  <c r="E519" i="2" s="1"/>
  <c r="H71" i="2" l="1"/>
  <c r="C531" i="2"/>
  <c r="C111" i="12" s="1"/>
  <c r="C534" i="2"/>
  <c r="C535" i="2"/>
  <c r="C530" i="2"/>
  <c r="C111" i="11" s="1"/>
  <c r="B102" i="2" l="1"/>
  <c r="E102" i="2" s="1"/>
  <c r="D550" i="2"/>
  <c r="C119" i="11" s="1"/>
  <c r="B94" i="2"/>
  <c r="B84" i="2"/>
  <c r="D84" i="2" s="1"/>
  <c r="B93" i="2"/>
  <c r="D93" i="2" s="1"/>
  <c r="C111" i="3"/>
  <c r="C111" i="4"/>
  <c r="B19" i="2"/>
  <c r="D19" i="2" s="1"/>
  <c r="D46" i="2"/>
  <c r="D47" i="2"/>
  <c r="B111" i="2" l="1"/>
  <c r="C25" i="11" s="1"/>
  <c r="B335" i="2"/>
  <c r="C111" i="2"/>
  <c r="C335" i="2"/>
  <c r="D111" i="2"/>
  <c r="D335" i="2"/>
  <c r="C73" i="2"/>
  <c r="C74" i="2"/>
  <c r="B129" i="2"/>
  <c r="C26" i="11" l="1"/>
  <c r="C40" i="12"/>
  <c r="C67" i="12" s="1"/>
  <c r="C40" i="11"/>
  <c r="C67" i="11" s="1"/>
  <c r="C27" i="11"/>
  <c r="C40" i="3"/>
  <c r="C67" i="3" s="1"/>
  <c r="C40" i="4"/>
  <c r="C67" i="4" s="1"/>
  <c r="E111" i="2"/>
  <c r="B255" i="2" s="1"/>
  <c r="C54" i="11" s="1"/>
  <c r="E335" i="2"/>
  <c r="B344" i="2" s="1"/>
  <c r="D344" i="2" s="1"/>
  <c r="C401" i="2"/>
  <c r="C421" i="2"/>
  <c r="C347" i="2"/>
  <c r="C346" i="2"/>
  <c r="C343" i="2"/>
  <c r="E247" i="2"/>
  <c r="D247" i="2"/>
  <c r="E246" i="2"/>
  <c r="C48" i="12" s="1"/>
  <c r="D246" i="2"/>
  <c r="C47" i="12" s="1"/>
  <c r="E243" i="2"/>
  <c r="D243" i="2"/>
  <c r="E242" i="2"/>
  <c r="C48" i="3" s="1"/>
  <c r="D242" i="2"/>
  <c r="C47" i="3" s="1"/>
  <c r="C198" i="2"/>
  <c r="C197" i="2"/>
  <c r="C194" i="2"/>
  <c r="C193" i="2"/>
  <c r="D193" i="2" s="1"/>
  <c r="D202" i="2" s="1"/>
  <c r="C211" i="2" s="1"/>
  <c r="E178" i="2"/>
  <c r="C187" i="2" s="1"/>
  <c r="E177" i="2"/>
  <c r="C186" i="2" s="1"/>
  <c r="E174" i="2"/>
  <c r="C183" i="2" s="1"/>
  <c r="E173" i="2"/>
  <c r="C182" i="2" s="1"/>
  <c r="E164" i="2"/>
  <c r="B182" i="2" s="1"/>
  <c r="C165" i="2"/>
  <c r="C143" i="2"/>
  <c r="C146" i="2"/>
  <c r="C147" i="2"/>
  <c r="C142" i="2"/>
  <c r="C134" i="2"/>
  <c r="C137" i="2"/>
  <c r="C138" i="2"/>
  <c r="D36" i="11" l="1"/>
  <c r="D34" i="11"/>
  <c r="D35" i="11"/>
  <c r="D37" i="11"/>
  <c r="D32" i="11"/>
  <c r="D38" i="11"/>
  <c r="D39" i="11"/>
  <c r="D33" i="11"/>
  <c r="B306" i="2"/>
  <c r="B135" i="2"/>
  <c r="D135" i="2" s="1"/>
  <c r="B153" i="2" s="1"/>
  <c r="B144" i="2"/>
  <c r="D144" i="2" s="1"/>
  <c r="B286" i="2" s="1"/>
  <c r="B277" i="2"/>
  <c r="B324" i="2"/>
  <c r="D66" i="11" s="1"/>
  <c r="E165" i="2"/>
  <c r="B183" i="2" s="1"/>
  <c r="D183" i="2" s="1"/>
  <c r="D182" i="2"/>
  <c r="D197" i="2"/>
  <c r="D194" i="2"/>
  <c r="B211" i="2"/>
  <c r="D211" i="2" s="1"/>
  <c r="C83" i="2"/>
  <c r="C86" i="2"/>
  <c r="C87" i="2"/>
  <c r="C82" i="2"/>
  <c r="D101" i="2"/>
  <c r="D104" i="2"/>
  <c r="D105" i="2"/>
  <c r="D100" i="2"/>
  <c r="C101" i="2"/>
  <c r="C104" i="2"/>
  <c r="C105" i="2"/>
  <c r="C100" i="2"/>
  <c r="C92" i="2"/>
  <c r="C95" i="2"/>
  <c r="C96" i="2"/>
  <c r="C91" i="2"/>
  <c r="B74" i="2"/>
  <c r="B73" i="2"/>
  <c r="B70" i="2"/>
  <c r="C11" i="4" s="1"/>
  <c r="B69" i="2"/>
  <c r="C11" i="3" s="1"/>
  <c r="C47" i="2"/>
  <c r="C46" i="2"/>
  <c r="C42" i="2"/>
  <c r="C41" i="2"/>
  <c r="B18" i="2"/>
  <c r="D18" i="2" s="1"/>
  <c r="E69" i="2"/>
  <c r="C14" i="3" s="1"/>
  <c r="D40" i="11" l="1"/>
  <c r="C277" i="2"/>
  <c r="D277" i="2" s="1"/>
  <c r="B315" i="2"/>
  <c r="D315" i="2" s="1"/>
  <c r="D324" i="2" s="1"/>
  <c r="D68" i="11" s="1"/>
  <c r="C153" i="2"/>
  <c r="D153" i="2" s="1"/>
  <c r="C255" i="2" s="1"/>
  <c r="C55" i="11" s="1"/>
  <c r="C57" i="11" s="1"/>
  <c r="B295" i="2"/>
  <c r="D62" i="11" s="1"/>
  <c r="D286" i="2"/>
  <c r="B243" i="2"/>
  <c r="C242" i="2"/>
  <c r="C46" i="3" s="1"/>
  <c r="B242" i="2"/>
  <c r="C45" i="3" s="1"/>
  <c r="C70" i="2"/>
  <c r="C12" i="4" s="1"/>
  <c r="C69" i="2"/>
  <c r="C12" i="3" s="1"/>
  <c r="C18" i="3" s="1"/>
  <c r="E46" i="2"/>
  <c r="C51" i="2" s="1"/>
  <c r="E73" i="2"/>
  <c r="H73" i="2" s="1"/>
  <c r="E47" i="2"/>
  <c r="D198" i="2"/>
  <c r="D203" i="2"/>
  <c r="C212" i="2" s="1"/>
  <c r="B212" i="2"/>
  <c r="B215" i="2"/>
  <c r="D206" i="2"/>
  <c r="C215" i="2" s="1"/>
  <c r="E377" i="2"/>
  <c r="C393" i="2" s="1"/>
  <c r="E376" i="2"/>
  <c r="B392" i="2" s="1"/>
  <c r="E375" i="2"/>
  <c r="C391" i="2" s="1"/>
  <c r="E374" i="2"/>
  <c r="B390" i="2" s="1"/>
  <c r="E373" i="2"/>
  <c r="C389" i="2" s="1"/>
  <c r="E372" i="2"/>
  <c r="B388" i="2" s="1"/>
  <c r="E371" i="2"/>
  <c r="B387" i="2" s="1"/>
  <c r="E370" i="2"/>
  <c r="C386" i="2" s="1"/>
  <c r="E369" i="2"/>
  <c r="C385" i="2" s="1"/>
  <c r="E368" i="2"/>
  <c r="E367" i="2"/>
  <c r="B383" i="2" s="1"/>
  <c r="C382" i="2"/>
  <c r="B269" i="2"/>
  <c r="C306" i="2" l="1"/>
  <c r="C324" i="2" s="1"/>
  <c r="D67" i="11" s="1"/>
  <c r="H69" i="2"/>
  <c r="B82" i="2" s="1"/>
  <c r="D82" i="2" s="1"/>
  <c r="B109" i="2" s="1"/>
  <c r="C25" i="3" s="1"/>
  <c r="C295" i="2"/>
  <c r="D63" i="11" s="1"/>
  <c r="E255" i="2"/>
  <c r="D551" i="2" s="1"/>
  <c r="C120" i="11" s="1"/>
  <c r="D295" i="2"/>
  <c r="D64" i="11" s="1"/>
  <c r="D306" i="2"/>
  <c r="B104" i="2"/>
  <c r="E104" i="2" s="1"/>
  <c r="B95" i="2"/>
  <c r="D95" i="2" s="1"/>
  <c r="B86" i="2"/>
  <c r="D86" i="2" s="1"/>
  <c r="C52" i="2"/>
  <c r="F242" i="2"/>
  <c r="D253" i="2" s="1"/>
  <c r="C56" i="3" s="1"/>
  <c r="C49" i="3"/>
  <c r="E70" i="2"/>
  <c r="C14" i="4" s="1"/>
  <c r="E41" i="2"/>
  <c r="B51" i="2" s="1"/>
  <c r="D212" i="2"/>
  <c r="D215" i="2"/>
  <c r="C246" i="2" s="1"/>
  <c r="C46" i="12" s="1"/>
  <c r="E42" i="2"/>
  <c r="B52" i="2" s="1"/>
  <c r="E74" i="2"/>
  <c r="B216" i="2"/>
  <c r="D207" i="2"/>
  <c r="C216" i="2" s="1"/>
  <c r="E168" i="2"/>
  <c r="B186" i="2" s="1"/>
  <c r="D186" i="2" s="1"/>
  <c r="B246" i="2" s="1"/>
  <c r="C45" i="12" s="1"/>
  <c r="B385" i="2"/>
  <c r="B393" i="2"/>
  <c r="B382" i="2"/>
  <c r="C390" i="2"/>
  <c r="B391" i="2"/>
  <c r="B386" i="2"/>
  <c r="C388" i="2"/>
  <c r="B389" i="2"/>
  <c r="B384" i="2"/>
  <c r="C384" i="2"/>
  <c r="C387" i="2"/>
  <c r="C383" i="2"/>
  <c r="C392" i="2"/>
  <c r="C49" i="12" l="1"/>
  <c r="F324" i="2"/>
  <c r="D69" i="11" s="1"/>
  <c r="B100" i="2"/>
  <c r="E100" i="2" s="1"/>
  <c r="D333" i="2" s="1"/>
  <c r="B550" i="2"/>
  <c r="B91" i="2"/>
  <c r="D91" i="2" s="1"/>
  <c r="C109" i="2" s="1"/>
  <c r="F295" i="2"/>
  <c r="D65" i="11" s="1"/>
  <c r="C243" i="2"/>
  <c r="D52" i="2"/>
  <c r="F74" i="2" s="1"/>
  <c r="B333" i="2"/>
  <c r="D51" i="2"/>
  <c r="F246" i="2"/>
  <c r="D257" i="2" s="1"/>
  <c r="D216" i="2"/>
  <c r="C247" i="2" s="1"/>
  <c r="E169" i="2"/>
  <c r="B187" i="2" s="1"/>
  <c r="D187" i="2" s="1"/>
  <c r="B247" i="2" s="1"/>
  <c r="C337" i="2"/>
  <c r="C113" i="2"/>
  <c r="B337" i="2"/>
  <c r="B113" i="2"/>
  <c r="D113" i="2"/>
  <c r="D337" i="2"/>
  <c r="B394" i="2"/>
  <c r="C411" i="2" s="1"/>
  <c r="C394" i="2"/>
  <c r="C412" i="2" s="1"/>
  <c r="D70" i="11" l="1"/>
  <c r="C119" i="3"/>
  <c r="B355" i="2"/>
  <c r="C355" i="2"/>
  <c r="D109" i="2"/>
  <c r="E109" i="2" s="1"/>
  <c r="B142" i="2" s="1"/>
  <c r="C333" i="2"/>
  <c r="E333" i="2" s="1"/>
  <c r="B342" i="2" s="1"/>
  <c r="D342" i="2" s="1"/>
  <c r="D353" i="2" s="1"/>
  <c r="F243" i="2"/>
  <c r="B63" i="2"/>
  <c r="D63" i="2" s="1"/>
  <c r="G74" i="2" s="1"/>
  <c r="H74" i="2" s="1"/>
  <c r="B61" i="2"/>
  <c r="D61" i="2" s="1"/>
  <c r="G72" i="2" s="1"/>
  <c r="C16" i="12" s="1"/>
  <c r="F72" i="2"/>
  <c r="C15" i="12" s="1"/>
  <c r="C18" i="12" s="1"/>
  <c r="F70" i="2"/>
  <c r="C15" i="4" s="1"/>
  <c r="B59" i="2"/>
  <c r="D59" i="2" s="1"/>
  <c r="G70" i="2" s="1"/>
  <c r="C16" i="4" s="1"/>
  <c r="F247" i="2"/>
  <c r="D258" i="2" s="1"/>
  <c r="E113" i="2"/>
  <c r="E337" i="2"/>
  <c r="B346" i="2" s="1"/>
  <c r="D346" i="2" s="1"/>
  <c r="C410" i="2"/>
  <c r="C414" i="2"/>
  <c r="C409" i="2"/>
  <c r="C413" i="2"/>
  <c r="C26" i="3" l="1"/>
  <c r="C27" i="3" s="1"/>
  <c r="D36" i="3" s="1"/>
  <c r="C18" i="4"/>
  <c r="D32" i="3"/>
  <c r="D38" i="3"/>
  <c r="D33" i="3"/>
  <c r="D35" i="3"/>
  <c r="D34" i="3"/>
  <c r="D37" i="3"/>
  <c r="D254" i="2"/>
  <c r="C56" i="4" s="1"/>
  <c r="H72" i="2"/>
  <c r="D357" i="2"/>
  <c r="D355" i="2"/>
  <c r="E355" i="2" s="1"/>
  <c r="D552" i="2" s="1"/>
  <c r="C121" i="11" s="1"/>
  <c r="B137" i="2"/>
  <c r="D137" i="2" s="1"/>
  <c r="B155" i="2" s="1"/>
  <c r="B146" i="2"/>
  <c r="D146" i="2" s="1"/>
  <c r="C279" i="2" s="1"/>
  <c r="C297" i="2" s="1"/>
  <c r="B105" i="2"/>
  <c r="E105" i="2" s="1"/>
  <c r="D338" i="2" s="1"/>
  <c r="D142" i="2"/>
  <c r="C275" i="2" s="1"/>
  <c r="C293" i="2" s="1"/>
  <c r="D63" i="3" s="1"/>
  <c r="B133" i="2"/>
  <c r="D133" i="2" s="1"/>
  <c r="B151" i="2" s="1"/>
  <c r="B87" i="2"/>
  <c r="D87" i="2" s="1"/>
  <c r="B114" i="2" s="1"/>
  <c r="B96" i="2"/>
  <c r="D96" i="2" s="1"/>
  <c r="C114" i="2" s="1"/>
  <c r="D94" i="2"/>
  <c r="H70" i="2"/>
  <c r="B253" i="2"/>
  <c r="B257" i="2"/>
  <c r="B308" i="2" s="1"/>
  <c r="D39" i="3" l="1"/>
  <c r="D40" i="3" s="1"/>
  <c r="C54" i="3"/>
  <c r="B304" i="2"/>
  <c r="B322" i="2" s="1"/>
  <c r="D66" i="3" s="1"/>
  <c r="B275" i="2"/>
  <c r="B103" i="2"/>
  <c r="E103" i="2" s="1"/>
  <c r="D336" i="2" s="1"/>
  <c r="E550" i="2"/>
  <c r="C119" i="12" s="1"/>
  <c r="B85" i="2"/>
  <c r="D85" i="2" s="1"/>
  <c r="B313" i="2"/>
  <c r="D313" i="2" s="1"/>
  <c r="D322" i="2" s="1"/>
  <c r="D68" i="3" s="1"/>
  <c r="B402" i="2"/>
  <c r="D402" i="2" s="1"/>
  <c r="B411" i="2" s="1"/>
  <c r="D411" i="2" s="1"/>
  <c r="E411" i="2" s="1"/>
  <c r="C112" i="2"/>
  <c r="C336" i="2"/>
  <c r="B279" i="2"/>
  <c r="B297" i="2" s="1"/>
  <c r="B326" i="2"/>
  <c r="C151" i="2"/>
  <c r="D151" i="2" s="1"/>
  <c r="C253" i="2" s="1"/>
  <c r="C55" i="3" s="1"/>
  <c r="B284" i="2"/>
  <c r="D284" i="2" s="1"/>
  <c r="D293" i="2" s="1"/>
  <c r="D64" i="3" s="1"/>
  <c r="B101" i="2"/>
  <c r="E101" i="2" s="1"/>
  <c r="C550" i="2"/>
  <c r="C119" i="4" s="1"/>
  <c r="B83" i="2"/>
  <c r="D83" i="2" s="1"/>
  <c r="B110" i="2" s="1"/>
  <c r="C25" i="4" s="1"/>
  <c r="B92" i="2"/>
  <c r="D92" i="2" s="1"/>
  <c r="D114" i="2"/>
  <c r="E114" i="2" s="1"/>
  <c r="B147" i="2" s="1"/>
  <c r="C338" i="2"/>
  <c r="B338" i="2"/>
  <c r="B317" i="2"/>
  <c r="D317" i="2" s="1"/>
  <c r="D326" i="2" s="1"/>
  <c r="B288" i="2"/>
  <c r="D288" i="2" s="1"/>
  <c r="C155" i="2"/>
  <c r="D155" i="2" s="1"/>
  <c r="C257" i="2" s="1"/>
  <c r="D112" i="2" l="1"/>
  <c r="C26" i="12"/>
  <c r="C57" i="3"/>
  <c r="B112" i="2"/>
  <c r="C25" i="12" s="1"/>
  <c r="C27" i="12" s="1"/>
  <c r="B336" i="2"/>
  <c r="E336" i="2" s="1"/>
  <c r="B345" i="2" s="1"/>
  <c r="D345" i="2" s="1"/>
  <c r="B434" i="2"/>
  <c r="D147" i="2"/>
  <c r="C280" i="2" s="1"/>
  <c r="C298" i="2" s="1"/>
  <c r="B138" i="2"/>
  <c r="D138" i="2" s="1"/>
  <c r="B156" i="2" s="1"/>
  <c r="D275" i="2"/>
  <c r="B293" i="2"/>
  <c r="D297" i="2"/>
  <c r="F297" i="2" s="1"/>
  <c r="B357" i="2" s="1"/>
  <c r="E253" i="2"/>
  <c r="C304" i="2"/>
  <c r="C322" i="2" s="1"/>
  <c r="D67" i="3" s="1"/>
  <c r="E257" i="2"/>
  <c r="C308" i="2"/>
  <c r="C326" i="2" s="1"/>
  <c r="F326" i="2" s="1"/>
  <c r="C357" i="2" s="1"/>
  <c r="D279" i="2"/>
  <c r="B258" i="2"/>
  <c r="B309" i="2" s="1"/>
  <c r="E338" i="2"/>
  <c r="B347" i="2" s="1"/>
  <c r="D347" i="2" s="1"/>
  <c r="C334" i="2"/>
  <c r="C110" i="2"/>
  <c r="D110" i="2"/>
  <c r="D334" i="2"/>
  <c r="B334" i="2"/>
  <c r="D36" i="12" l="1"/>
  <c r="D32" i="12"/>
  <c r="D35" i="12"/>
  <c r="D34" i="12"/>
  <c r="D38" i="12"/>
  <c r="D37" i="12"/>
  <c r="D39" i="12"/>
  <c r="D33" i="12"/>
  <c r="C77" i="11"/>
  <c r="C78" i="11" s="1"/>
  <c r="C89" i="11"/>
  <c r="C26" i="4"/>
  <c r="F293" i="2"/>
  <c r="D62" i="3"/>
  <c r="E112" i="2"/>
  <c r="B256" i="2" s="1"/>
  <c r="D358" i="2"/>
  <c r="D356" i="2"/>
  <c r="B280" i="2"/>
  <c r="B298" i="2" s="1"/>
  <c r="B327" i="2"/>
  <c r="B318" i="2"/>
  <c r="D318" i="2" s="1"/>
  <c r="D327" i="2" s="1"/>
  <c r="B289" i="2"/>
  <c r="D289" i="2" s="1"/>
  <c r="D298" i="2" s="1"/>
  <c r="C156" i="2"/>
  <c r="D156" i="2" s="1"/>
  <c r="C258" i="2" s="1"/>
  <c r="F322" i="2"/>
  <c r="D69" i="3" s="1"/>
  <c r="D304" i="2"/>
  <c r="D308" i="2"/>
  <c r="B551" i="2"/>
  <c r="E334" i="2"/>
  <c r="B343" i="2" s="1"/>
  <c r="D343" i="2" s="1"/>
  <c r="D354" i="2" s="1"/>
  <c r="E110" i="2"/>
  <c r="E357" i="2"/>
  <c r="B307" i="2" l="1"/>
  <c r="C54" i="12"/>
  <c r="D40" i="12"/>
  <c r="C120" i="3"/>
  <c r="B325" i="2"/>
  <c r="D66" i="12" s="1"/>
  <c r="B353" i="2"/>
  <c r="D65" i="3"/>
  <c r="D70" i="3" s="1"/>
  <c r="B136" i="2"/>
  <c r="D136" i="2" s="1"/>
  <c r="B154" i="2" s="1"/>
  <c r="B278" i="2"/>
  <c r="B145" i="2"/>
  <c r="D145" i="2" s="1"/>
  <c r="C154" i="2" s="1"/>
  <c r="B404" i="2"/>
  <c r="D404" i="2" s="1"/>
  <c r="B413" i="2" s="1"/>
  <c r="D413" i="2" s="1"/>
  <c r="E413" i="2" s="1"/>
  <c r="B436" i="2" s="1"/>
  <c r="D436" i="2" s="1"/>
  <c r="B534" i="2" s="1"/>
  <c r="B134" i="2"/>
  <c r="D134" i="2" s="1"/>
  <c r="B152" i="2" s="1"/>
  <c r="B143" i="2"/>
  <c r="D143" i="2" s="1"/>
  <c r="C276" i="2" s="1"/>
  <c r="C294" i="2" s="1"/>
  <c r="D63" i="4" s="1"/>
  <c r="C353" i="2"/>
  <c r="F298" i="2"/>
  <c r="B358" i="2" s="1"/>
  <c r="D280" i="2"/>
  <c r="E258" i="2"/>
  <c r="C309" i="2"/>
  <c r="C27" i="4"/>
  <c r="B254" i="2"/>
  <c r="C54" i="4" l="1"/>
  <c r="B305" i="2"/>
  <c r="B323" i="2" s="1"/>
  <c r="D66" i="4" s="1"/>
  <c r="D154" i="2"/>
  <c r="C256" i="2" s="1"/>
  <c r="C55" i="12" s="1"/>
  <c r="C57" i="12" s="1"/>
  <c r="B296" i="2"/>
  <c r="D62" i="12" s="1"/>
  <c r="C278" i="2"/>
  <c r="D278" i="2" s="1"/>
  <c r="B287" i="2"/>
  <c r="B316" i="2"/>
  <c r="D316" i="2" s="1"/>
  <c r="D325" i="2" s="1"/>
  <c r="D68" i="12" s="1"/>
  <c r="B276" i="2"/>
  <c r="E353" i="2"/>
  <c r="B420" i="2" s="1"/>
  <c r="D309" i="2"/>
  <c r="C327" i="2"/>
  <c r="F327" i="2" s="1"/>
  <c r="C358" i="2" s="1"/>
  <c r="E358" i="2" s="1"/>
  <c r="B285" i="2"/>
  <c r="D285" i="2" s="1"/>
  <c r="D294" i="2" s="1"/>
  <c r="D64" i="4" s="1"/>
  <c r="B314" i="2"/>
  <c r="D314" i="2" s="1"/>
  <c r="D323" i="2" s="1"/>
  <c r="D68" i="4" s="1"/>
  <c r="C152" i="2"/>
  <c r="D152" i="2" s="1"/>
  <c r="D36" i="4"/>
  <c r="D35" i="4"/>
  <c r="D34" i="4"/>
  <c r="D33" i="4"/>
  <c r="D37" i="4"/>
  <c r="D39" i="4"/>
  <c r="D38" i="4"/>
  <c r="D32" i="4"/>
  <c r="D534" i="2"/>
  <c r="B542" i="2" s="1"/>
  <c r="C307" i="2" l="1"/>
  <c r="D307" i="2" s="1"/>
  <c r="C296" i="2"/>
  <c r="D63" i="12" s="1"/>
  <c r="E256" i="2"/>
  <c r="E551" i="2" s="1"/>
  <c r="C120" i="12" s="1"/>
  <c r="D287" i="2"/>
  <c r="D296" i="2" s="1"/>
  <c r="D64" i="12" s="1"/>
  <c r="B405" i="2"/>
  <c r="D405" i="2" s="1"/>
  <c r="B414" i="2" s="1"/>
  <c r="D414" i="2" s="1"/>
  <c r="E414" i="2" s="1"/>
  <c r="B437" i="2" s="1"/>
  <c r="D437" i="2" s="1"/>
  <c r="B400" i="2"/>
  <c r="D400" i="2" s="1"/>
  <c r="B409" i="2" s="1"/>
  <c r="D409" i="2" s="1"/>
  <c r="E409" i="2" s="1"/>
  <c r="B552" i="2"/>
  <c r="D420" i="2"/>
  <c r="B425" i="2" s="1"/>
  <c r="D425" i="2" s="1"/>
  <c r="B294" i="2"/>
  <c r="D276" i="2"/>
  <c r="D40" i="4"/>
  <c r="C254" i="2"/>
  <c r="C55" i="4" s="1"/>
  <c r="C57" i="4" s="1"/>
  <c r="D542" i="2"/>
  <c r="C114" i="11" s="1"/>
  <c r="C325" i="2" l="1"/>
  <c r="D67" i="12" s="1"/>
  <c r="C121" i="3"/>
  <c r="C114" i="3"/>
  <c r="F294" i="2"/>
  <c r="D62" i="4"/>
  <c r="F325" i="2"/>
  <c r="D69" i="12" s="1"/>
  <c r="D70" i="12" s="1"/>
  <c r="F296" i="2"/>
  <c r="D65" i="12" s="1"/>
  <c r="B432" i="2"/>
  <c r="B535" i="2"/>
  <c r="D535" i="2" s="1"/>
  <c r="D556" i="2"/>
  <c r="C126" i="11" s="1"/>
  <c r="C434" i="2"/>
  <c r="C432" i="2"/>
  <c r="E254" i="2"/>
  <c r="C305" i="2"/>
  <c r="B556" i="2"/>
  <c r="C126" i="3" s="1"/>
  <c r="C100" i="3"/>
  <c r="C83" i="11" l="1"/>
  <c r="C84" i="11" s="1"/>
  <c r="C90" i="11"/>
  <c r="C91" i="11" s="1"/>
  <c r="B356" i="2"/>
  <c r="C356" i="2"/>
  <c r="C77" i="3"/>
  <c r="C78" i="3" s="1"/>
  <c r="C89" i="3"/>
  <c r="B354" i="2"/>
  <c r="D65" i="4"/>
  <c r="C83" i="3"/>
  <c r="C84" i="3" s="1"/>
  <c r="C90" i="3"/>
  <c r="D434" i="2"/>
  <c r="D553" i="2" s="1"/>
  <c r="C122" i="11" s="1"/>
  <c r="B543" i="2"/>
  <c r="D543" i="2" s="1"/>
  <c r="C114" i="12" s="1"/>
  <c r="C551" i="2"/>
  <c r="C120" i="4" s="1"/>
  <c r="D432" i="2"/>
  <c r="B530" i="2" s="1"/>
  <c r="D305" i="2"/>
  <c r="C323" i="2"/>
  <c r="D67" i="4" s="1"/>
  <c r="C124" i="11" l="1"/>
  <c r="C91" i="3"/>
  <c r="B532" i="2"/>
  <c r="D532" i="2" s="1"/>
  <c r="E356" i="2"/>
  <c r="B403" i="2" s="1"/>
  <c r="D403" i="2" s="1"/>
  <c r="B412" i="2" s="1"/>
  <c r="D412" i="2" s="1"/>
  <c r="E412" i="2" s="1"/>
  <c r="C114" i="4"/>
  <c r="E556" i="2"/>
  <c r="C126" i="12" s="1"/>
  <c r="C556" i="2"/>
  <c r="C126" i="4" s="1"/>
  <c r="D530" i="2"/>
  <c r="B553" i="2"/>
  <c r="F323" i="2"/>
  <c r="D69" i="4" s="1"/>
  <c r="D70" i="4" s="1"/>
  <c r="D555" i="2" l="1"/>
  <c r="D111" i="11"/>
  <c r="E552" i="2"/>
  <c r="C121" i="12" s="1"/>
  <c r="C122" i="3"/>
  <c r="B555" i="2"/>
  <c r="C125" i="3" s="1"/>
  <c r="D111" i="3"/>
  <c r="B435" i="2"/>
  <c r="C354" i="2"/>
  <c r="E354" i="2" s="1"/>
  <c r="B421" i="2" s="1"/>
  <c r="C89" i="12" l="1"/>
  <c r="C77" i="12"/>
  <c r="C78" i="12" s="1"/>
  <c r="D557" i="2"/>
  <c r="D558" i="2" s="1"/>
  <c r="C125" i="11"/>
  <c r="C127" i="11" s="1"/>
  <c r="C128" i="11" s="1"/>
  <c r="C124" i="3"/>
  <c r="C127" i="3"/>
  <c r="C128" i="3" s="1"/>
  <c r="B557" i="2"/>
  <c r="E8" i="6"/>
  <c r="B401" i="2"/>
  <c r="D401" i="2" s="1"/>
  <c r="B410" i="2" s="1"/>
  <c r="D410" i="2" s="1"/>
  <c r="E410" i="2" s="1"/>
  <c r="B433" i="2" s="1"/>
  <c r="D421" i="2"/>
  <c r="B426" i="2" s="1"/>
  <c r="D426" i="2" s="1"/>
  <c r="C552" i="2"/>
  <c r="B558" i="2" l="1"/>
  <c r="C121" i="4"/>
  <c r="C89" i="4"/>
  <c r="C77" i="4"/>
  <c r="C78" i="4" s="1"/>
  <c r="F8" i="6"/>
  <c r="G8" i="6" s="1"/>
  <c r="H8" i="6" s="1"/>
  <c r="E6" i="6"/>
  <c r="C433" i="2"/>
  <c r="D433" i="2" s="1"/>
  <c r="B531" i="2" s="1"/>
  <c r="C435" i="2"/>
  <c r="C83" i="12" l="1"/>
  <c r="C84" i="12" s="1"/>
  <c r="C90" i="12"/>
  <c r="C91" i="12" s="1"/>
  <c r="D435" i="2"/>
  <c r="E553" i="2" s="1"/>
  <c r="C122" i="12" s="1"/>
  <c r="C83" i="4"/>
  <c r="C84" i="4" s="1"/>
  <c r="C90" i="4"/>
  <c r="C91" i="4" s="1"/>
  <c r="F6" i="6"/>
  <c r="B533" i="2"/>
  <c r="D533" i="2" s="1"/>
  <c r="D111" i="12" s="1"/>
  <c r="C553" i="2"/>
  <c r="D531" i="2"/>
  <c r="D111" i="4" s="1"/>
  <c r="C124" i="12" l="1"/>
  <c r="C122" i="4"/>
  <c r="G6" i="6"/>
  <c r="E555" i="2"/>
  <c r="C555" i="2"/>
  <c r="C125" i="4" s="1"/>
  <c r="E557" i="2" l="1"/>
  <c r="E558" i="2" s="1"/>
  <c r="C125" i="12"/>
  <c r="C127" i="12" s="1"/>
  <c r="C128" i="12" s="1"/>
  <c r="C124" i="4"/>
  <c r="C127" i="4"/>
  <c r="C128" i="4" s="1"/>
  <c r="C557" i="2"/>
  <c r="H6" i="6"/>
  <c r="E9" i="6" l="1"/>
  <c r="C558" i="2"/>
  <c r="F9" i="6"/>
  <c r="G9" i="6" s="1"/>
  <c r="H9" i="6" s="1"/>
  <c r="E7" i="6"/>
  <c r="E10" i="6" s="1"/>
  <c r="F7" i="6" l="1"/>
  <c r="G7" i="6" l="1"/>
  <c r="F10" i="6"/>
  <c r="H7" i="6" l="1"/>
  <c r="H10" i="6" s="1"/>
  <c r="G10" i="6"/>
  <c r="C16" i="6" s="1"/>
  <c r="C17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Scheyla Cristina de Souza Belmiro do Amaral</author>
  </authors>
  <commentList>
    <comment ref="B11" authorId="0" shapeId="0" xr:uid="{00000000-0006-0000-0100-000001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Informar salário base conforme Convenção Coletiva de Trabalho vigente para a categoria e no município de prestação do serviço.
</t>
        </r>
      </text>
    </comment>
    <comment ref="C18" authorId="0" shapeId="0" xr:uid="{00000000-0006-0000-0100-000002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Percentual conforme definido em CCT, se houver gratificação de função.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30" authorId="0" shapeId="0" xr:uid="{00000000-0006-0000-0100-000003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Percentual sobre o salário base, conforme definido em CCT, quando houver adicional de periculosidade ou insabubridade</t>
        </r>
      </text>
    </comment>
    <comment ref="C41" authorId="0" shapeId="0" xr:uid="{00000000-0006-0000-0100-000004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Considera hora noturna de 22h às 5h do dia segunte, portanto 7 horas noturnas de uma jornada de 12h. 
Base de cálculo de acordo com § 3º do Art. 73 da CLT</t>
        </r>
      </text>
    </comment>
    <comment ref="C46" authorId="0" shapeId="0" xr:uid="{00000000-0006-0000-0100-000005000000}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
A título de pagamento adicional computa-se o pagamento de 7min e 30 s a cada hora noturna, por 7 horas, totalizando 52min e 30 s, que significa 1 hora da jornada de 12h.
</t>
        </r>
      </text>
    </comment>
    <comment ref="D46" authorId="0" shapeId="0" xr:uid="{00000000-0006-0000-0100-000006000000}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Por tratar-se de hora considerada a mais, calcula-se pagamento de 100% da hora, acrescida do respectivo adicional noturno.</t>
        </r>
      </text>
    </comment>
    <comment ref="A49" authorId="0" shapeId="0" xr:uid="{00000000-0006-0000-0100-000007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Tabela resumo da totalização do Adicional noturno.
Automatizada, desde que não haja alterações de fórmulas ou estrutura da planilha.</t>
        </r>
      </text>
    </comment>
    <comment ref="A67" authorId="0" shapeId="0" xr:uid="{00000000-0006-0000-0100-000008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Automatizada, desde que não haja alterações de fórmulas ou estrutura da planilha.
</t>
        </r>
      </text>
    </comment>
    <comment ref="C81" authorId="0" shapeId="0" xr:uid="{00000000-0006-0000-0100-000009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Por tratar-se de planilha mensal será contabilizado 1/12 avos do custo.</t>
        </r>
      </text>
    </comment>
    <comment ref="A89" authorId="0" shapeId="0" xr:uid="{00000000-0006-0000-0100-00000A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Observações importantes: 
1ª - Levando em consideração a vigência contratual prevista no art. 57 da Lei nº 8.666, de 23 de junho de 1993, a referida rubrica tem como principal objetivo suprir a necessidade no final do contrato de 12 meses o pagamento ao direito às férias remuneradas, na forma prevista na Consolidação das Leis do Trabalho. Esta rubrica, quando da prorrogação contratual, torna-se objeto de custo não renovável. 
2ª - Deve ser ponderado pelo gestor no momento da composição de custos, a necessidade ou não da inclusão dessa rubrica, observada nesses casos sempre a duração do contrato. Caso seja firmado contrato com duração superior a 12 meses, sugere-se a exclusão dessa rubrica.
</t>
        </r>
      </text>
    </comment>
    <comment ref="C100" authorId="0" shapeId="0" xr:uid="{00000000-0006-0000-0100-00000B000000}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Corresponde ao previsto na Constituição. Adicional de 1/3 a mais do salário normal.
</t>
        </r>
      </text>
    </comment>
    <comment ref="A107" authorId="0" shapeId="0" xr:uid="{00000000-0006-0000-0100-00000C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apenas totaliza a previsão mensal de custos com 13° Salário, Férias e Adicional de Férias.
</t>
        </r>
      </text>
    </comment>
    <comment ref="B123" authorId="0" shapeId="0" xr:uid="{00000000-0006-0000-0100-00000D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Informar o percentual adequado à categoria profissional a ser contratada para a prestação do serviço.
</t>
        </r>
      </text>
    </comment>
    <comment ref="C133" authorId="0" shapeId="0" xr:uid="{00000000-0006-0000-0100-00000E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Corresponde ao somatório dos encargos para financiamento da seguridade social.
O percentual será alterado quando do preenchimento da aliquota do SAT/GIIL-RAT
</t>
        </r>
      </text>
    </comment>
    <comment ref="C142" authorId="0" shapeId="0" xr:uid="{00000000-0006-0000-0100-00000F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Alíquota mensal de depóstio à título de FGTS, conforme Lei n° 8.036, de 1990.</t>
        </r>
      </text>
    </comment>
    <comment ref="A149" authorId="0" shapeId="0" xr:uid="{00000000-0006-0000-0100-000010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Totalização dos Encargos. Automatizada, desde que não haja alteração nas fórmulas e estrutura da planilha.</t>
        </r>
      </text>
    </comment>
    <comment ref="B163" authorId="0" shapeId="0" xr:uid="{00000000-0006-0000-0100-000011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Valor da tarifa de transporte público praticada no município de prestação do serviço.
</t>
        </r>
      </text>
    </comment>
    <comment ref="D164" authorId="0" shapeId="0" xr:uid="{00000000-0006-0000-0100-000012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apenas sugerido, depende de disposições constantes na CCT.</t>
        </r>
      </text>
    </comment>
    <comment ref="C172" authorId="0" shapeId="0" xr:uid="{00000000-0006-0000-0100-000013000000}">
      <text>
        <r>
          <rPr>
            <b/>
            <sz val="9"/>
            <color indexed="81"/>
            <rFont val="Segoe UI"/>
            <family val="2"/>
          </rPr>
          <t xml:space="preserve">Seges: exemplificativo... </t>
        </r>
        <r>
          <rPr>
            <sz val="9"/>
            <color indexed="81"/>
            <rFont val="Segoe UI"/>
            <family val="2"/>
          </rPr>
          <t>O desconto poderá ser proporcional, conforme disposto no art. 10 do Decreto n° 95.247, de 1987.
O órgão contatante deverá apreciar o comportamento das empresas prestadoras de serviço e ajustar, conforme necessidade.</t>
        </r>
      </text>
    </comment>
    <comment ref="B192" authorId="0" shapeId="0" xr:uid="{00000000-0006-0000-0100-000014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Conforme estabelecido em Convenção Coletiva de Trabalho
</t>
        </r>
      </text>
    </comment>
    <comment ref="C193" authorId="0" shapeId="0" xr:uid="{00000000-0006-0000-0100-000015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apenas sugerido, depende de disposições constantes na CCT.
</t>
        </r>
      </text>
    </comment>
    <comment ref="C201" authorId="0" shapeId="0" xr:uid="{00000000-0006-0000-0100-000016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Observar desconto informado em Convenção Coletiva.
</t>
        </r>
      </text>
    </comment>
    <comment ref="B202" authorId="0" shapeId="0" xr:uid="{00000000-0006-0000-0100-000017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Observar Convenção Coletiva sobre base de cálculo, habitualmente o desconto é sobre o valor do benefício concedido.</t>
        </r>
      </text>
    </comment>
    <comment ref="A240" authorId="0" shapeId="0" xr:uid="{00000000-0006-0000-0100-000018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Apenas totaliza os custos efetivos com benefícios mensais do trabalhador.
Automatizada, desde que não haja alteração de fórmulas ou estrutura da planilha</t>
        </r>
      </text>
    </comment>
    <comment ref="A251" authorId="0" shapeId="0" xr:uid="{00000000-0006-0000-0100-000019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Totaliza o módulo 2, com somatória de 13° salário, férias, adicional, encargos e benefícios.
</t>
        </r>
      </text>
    </comment>
    <comment ref="B265" authorId="0" shapeId="0" xr:uid="{00000000-0006-0000-0100-00001A000000}">
      <text>
        <r>
          <rPr>
            <b/>
            <sz val="9"/>
            <color indexed="81"/>
            <rFont val="Segoe UI"/>
            <family val="2"/>
          </rPr>
          <t xml:space="preserve">Seges: exemplificativo
</t>
        </r>
        <r>
          <rPr>
            <sz val="9"/>
            <color indexed="81"/>
            <rFont val="Segoe UI"/>
            <family val="2"/>
          </rPr>
          <t xml:space="preserve">Para o modelo utiliza-se probabilidade de 45% de API e 55% de APT. Observar fórmula.
O percentual de probabilidade de ocorrência deverá ser avaliado pelo órgão contratante, mediante histórico das contratações, ajustando a planilha ao caso em concreto.
</t>
        </r>
      </text>
    </comment>
    <comment ref="A351" authorId="0" shapeId="0" xr:uid="{00000000-0006-0000-0100-00001B000000}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
Totaliza o custo estimado a ser provisionado mensalmente. Está automatizada, desde que não haja alteração de fórmulas e/ou estrutura da planilha.</t>
        </r>
      </text>
    </comment>
    <comment ref="B364" authorId="0" shapeId="0" xr:uid="{00000000-0006-0000-0100-00001C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Probabilidade de ocorrência de ausência do profissional residente quando será necessária a presença de um repositor. O órgão deverá observar o histórico das contratações anteriores para estimar tais probabilidades.</t>
        </r>
      </text>
    </comment>
    <comment ref="C364" authorId="0" shapeId="0" xr:uid="{00000000-0006-0000-0100-00001D000000}">
      <text>
        <r>
          <rPr>
            <b/>
            <sz val="9"/>
            <color indexed="81"/>
            <rFont val="Segoe UI"/>
            <family val="2"/>
          </rPr>
          <t xml:space="preserve">Segesl: </t>
        </r>
        <r>
          <rPr>
            <sz val="9"/>
            <color indexed="81"/>
            <rFont val="Segoe UI"/>
            <family val="2"/>
          </rPr>
          <t>Duração computada em dias, conforme previsão em legislação.</t>
        </r>
      </text>
    </comment>
    <comment ref="A379" authorId="0" shapeId="0" xr:uid="{00000000-0006-0000-0100-00001E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Esta tabela apresenta o resumo dos dias prováveis de ausência, quando seria necessária a presença de um profissional repositor.
Seu cálculo está automatizado mediante preenchimento da tabela anterior.</t>
        </r>
      </text>
    </comment>
    <comment ref="A382" authorId="0" shapeId="0" xr:uid="{00000000-0006-0000-0100-00001F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este ítem destina-se ao cálculo do custo do empregado substituto que virá cobrir o período de férias do residente, portanto, não se confunde com o direito ao pagamento de férias daquele.
Desde que não haja alteração de fórmulas e/ou estrutura da planilha.
</t>
        </r>
      </text>
    </comment>
    <comment ref="A407" authorId="0" shapeId="0" xr:uid="{00000000-0006-0000-0100-000020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Tabela automatizada para cálculo do custo mensal com reposição do profissional ausente, mediante preenchimento das anteriores. Desde que não haja alteração de fórmulas e/ou estrutura da planilha.
</t>
        </r>
      </text>
    </comment>
    <comment ref="A430" authorId="0" shapeId="0" xr:uid="{00000000-0006-0000-0100-000021000000}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Esta tabela totaliza os custos com reposição de profissional ausente e está automatizada mediante preenchimento das anteriores. Desde que não haja alteração de fórmulas e/ou estrutura da planilha.</t>
        </r>
      </text>
    </comment>
    <comment ref="D442" authorId="0" shapeId="0" xr:uid="{00000000-0006-0000-0100-000022000000}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todos os itens relacionados a insumos deverão ser objeto de pesquisa de preços conforme diretrizes da Instrução Normativa específica (IN n° 3, de 20 de abril de 2017).
</t>
        </r>
      </text>
    </comment>
    <comment ref="D465" authorId="0" shapeId="0" xr:uid="{00000000-0006-0000-0100-000023000000}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todos os itens relacionados a insumos deverão ser objeto de pesquisa de preços conforme diretrizes da Instrução Normativa específica (IN n° 3, de 20 de abril de 2017).
</t>
        </r>
      </text>
    </comment>
    <comment ref="D479" authorId="0" shapeId="0" xr:uid="{00000000-0006-0000-0100-000024000000}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todos os itens relacionados a insumos deverão ser objeto de pesquisa de preços conforme diretrizes da Instrução Normativa específica (IN n° 3, de 20 de abril de 2017).
</t>
        </r>
      </text>
    </comment>
    <comment ref="A523" authorId="0" shapeId="0" xr:uid="{00000000-0006-0000-0100-000025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Nesta tabela poderão ser informados os percentuais previstos de Custos Indiretos, Tributos e Lucro separadamente para permitir o cálculo automático segundo metodologia Seges. Desde que não haja alteração de modelo da planilha e de fórmulas.
</t>
        </r>
      </text>
    </comment>
    <comment ref="A547" authorId="0" shapeId="0" xr:uid="{00000000-0006-0000-0100-000026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Esta tabela totaliza o custo do trabalhador e está automatizada, desde que não haja alteração nas formulas e no modelo da presente planilha. Ajustes necessários são responsailidade do órgão contratante, por quem deverão ser conferidos.</t>
        </r>
      </text>
    </comment>
  </commentList>
</comments>
</file>

<file path=xl/sharedStrings.xml><?xml version="1.0" encoding="utf-8"?>
<sst xmlns="http://schemas.openxmlformats.org/spreadsheetml/2006/main" count="1374" uniqueCount="368">
  <si>
    <t>SALÁRIO BASE</t>
  </si>
  <si>
    <t>Base de cálculo</t>
  </si>
  <si>
    <t>Percentual</t>
  </si>
  <si>
    <t>Categoria</t>
  </si>
  <si>
    <t>Valor</t>
  </si>
  <si>
    <t>MÓDULO 1 - REMUNERAÇÃO</t>
  </si>
  <si>
    <t>ADICIONAL POR TRABALHO NOTURNO</t>
  </si>
  <si>
    <t>Base de Cálculo</t>
  </si>
  <si>
    <t>Proporção</t>
  </si>
  <si>
    <t>HORA NOTURNA REDUZIDA</t>
  </si>
  <si>
    <t>Adicional Noturno</t>
  </si>
  <si>
    <t>Hora Noturna
Reduzida</t>
  </si>
  <si>
    <t>Total</t>
  </si>
  <si>
    <t>ADICIONAL DE FÉRIAS - 1/3 CONSTITUCIONAL</t>
  </si>
  <si>
    <t>Alíquota Adicional</t>
  </si>
  <si>
    <t>1/3 Constitucional</t>
  </si>
  <si>
    <t>Férias</t>
  </si>
  <si>
    <t>SUBMÓDULO 2.2 - ENCARGOS PREVIDENCIÁRIOS E FGTS</t>
  </si>
  <si>
    <t>COMPOSIÇÃO DO GPS E FGTS</t>
  </si>
  <si>
    <t>Encargos</t>
  </si>
  <si>
    <t>INSS - empregador</t>
  </si>
  <si>
    <t>Salário-Educação</t>
  </si>
  <si>
    <t>SAT- GIL/RAT</t>
  </si>
  <si>
    <t>SESC</t>
  </si>
  <si>
    <t>SENAC</t>
  </si>
  <si>
    <t>SEBRAE</t>
  </si>
  <si>
    <t>INCRA</t>
  </si>
  <si>
    <t>FGTS</t>
  </si>
  <si>
    <t>TOTAL</t>
  </si>
  <si>
    <t>GPS - GUIA DA PREVIDÊNCIA SOCIAL</t>
  </si>
  <si>
    <t>FGTS - FUNDO DE GARANTIA POR TEMPO DE SERVIÇO</t>
  </si>
  <si>
    <t>GPS</t>
  </si>
  <si>
    <t>SUBMÓDULO 2.3 - BENEFÍCIOS MENSAIS E DIÁRIOS</t>
  </si>
  <si>
    <t>Vr. Unitário</t>
  </si>
  <si>
    <t xml:space="preserve">Vales por dia </t>
  </si>
  <si>
    <t>Custo total</t>
  </si>
  <si>
    <t>Dias efetivamente trabalhados</t>
  </si>
  <si>
    <t>CUSTO DA PASSAGEM</t>
  </si>
  <si>
    <t>Proporcionalidade</t>
  </si>
  <si>
    <t>Desconto</t>
  </si>
  <si>
    <t>Valor do desconto</t>
  </si>
  <si>
    <t>DESCONTO DO VALE TRANSPORTE</t>
  </si>
  <si>
    <t>Custo efetivo</t>
  </si>
  <si>
    <t>CUSTO EFETIVO DO VALE TRANSPORTE</t>
  </si>
  <si>
    <t>Valor diário</t>
  </si>
  <si>
    <t>DESCONTO DO VALE ALIMENTAÇÃO/REFEIÇÃO</t>
  </si>
  <si>
    <t>CUSTO EFETIVO DO VALE ALIMENTAÇÃO/REFEIÇÃO</t>
  </si>
  <si>
    <t>MÓDULO 3 - PROVISÃO PARA RESCISÃO</t>
  </si>
  <si>
    <t>PERCENTUAIS POR TIPO DE
 DESLIGAMENTO</t>
  </si>
  <si>
    <t>Tipos</t>
  </si>
  <si>
    <t>Demissão 
SEM  justa Causa</t>
  </si>
  <si>
    <t>SEM justa Causa
AP INDENIZADO</t>
  </si>
  <si>
    <t>SEM justa Causa 
AP TRABALHADO</t>
  </si>
  <si>
    <t>Demissão
 COM  justa Causa</t>
  </si>
  <si>
    <t>Desligamentos 
OUTROS TIPOS</t>
  </si>
  <si>
    <t>SUBMÓDULO 3.1 - AVISO PRÉVIO INDENIZADO</t>
  </si>
  <si>
    <t>Submódulo 2.1</t>
  </si>
  <si>
    <t>Submódulo 2.2</t>
  </si>
  <si>
    <t>Submódulo 2.3</t>
  </si>
  <si>
    <t>MULTA DO FGTS E CONTRIBUIÇÃO SOCIAL SOBRE O AVISO PRÉVIO INDENIZADO</t>
  </si>
  <si>
    <t>Percentual da 
Multa</t>
  </si>
  <si>
    <t>SUBMÓDULO 3.1 - CUSTO DO AVISO PRÉVIO INDENIZADO</t>
  </si>
  <si>
    <t>SUBMÓDULO 3.2 - AVISO PRÉVIO TRABALHADO</t>
  </si>
  <si>
    <t>SUBMÓDULO 3.3 - DEMISSÃO POR JUSTA CAUSA</t>
  </si>
  <si>
    <t>Valor provisionado do Adicional de Férias</t>
  </si>
  <si>
    <t>Valor provisionado das Férias</t>
  </si>
  <si>
    <t>BASE DE CÁLCULO PARA DEMISSÃO POR JUSTA CAUSA</t>
  </si>
  <si>
    <t>SUBMÓDULO 3.3 - CUSTO DA DEMISSÃO COM JUSTA CAUSA</t>
  </si>
  <si>
    <t>Submódulo 3.1</t>
  </si>
  <si>
    <t>Submódulo 3.2</t>
  </si>
  <si>
    <t>Submódulo 3.3</t>
  </si>
  <si>
    <t>SUBMÓDULO 3.2 - CUSTO DO AVISO PRÉVIO TRABALHADO</t>
  </si>
  <si>
    <t>MÓDULO 4 - CUSTO DE REPOSIÇÃO DO PROFISSIONAL AUSENTE</t>
  </si>
  <si>
    <t>Custo diário</t>
  </si>
  <si>
    <t>Divisor do dia</t>
  </si>
  <si>
    <t>CUSTO DIÁRIO PARA O REPOSITOR</t>
  </si>
  <si>
    <t xml:space="preserve">Memória de Cálculo - número de dias de reposição do profissional ausente para cada evento </t>
  </si>
  <si>
    <t>Incidencia anual</t>
  </si>
  <si>
    <t>Duração Legal  
da Ausência</t>
  </si>
  <si>
    <t>12x36</t>
  </si>
  <si>
    <t>Proporção dias afetados</t>
  </si>
  <si>
    <t>Dias de reposição</t>
  </si>
  <si>
    <t>Ausência justificada</t>
  </si>
  <si>
    <t>Acidente trabalho</t>
  </si>
  <si>
    <t>Afastamento por doença</t>
  </si>
  <si>
    <t>Consulta médica filho</t>
  </si>
  <si>
    <t>Óbitos na família</t>
  </si>
  <si>
    <t>Casamento</t>
  </si>
  <si>
    <t>Doação de sangue</t>
  </si>
  <si>
    <t>Testemunho</t>
  </si>
  <si>
    <t>Paternidade</t>
  </si>
  <si>
    <t>Maternidade</t>
  </si>
  <si>
    <t>Consulta pré-natal</t>
  </si>
  <si>
    <t>Composição</t>
  </si>
  <si>
    <t xml:space="preserve"> 12 x 36 D</t>
  </si>
  <si>
    <t>12 x 36 N</t>
  </si>
  <si>
    <t>Total Para reposição</t>
  </si>
  <si>
    <t>ESTIMATIVA DA NECESSIDADE DE REPOSIÇÃO DE PROFISSIONAL</t>
  </si>
  <si>
    <t>Necessidade de Reposição</t>
  </si>
  <si>
    <t>Custo anual</t>
  </si>
  <si>
    <t>Custo mensal</t>
  </si>
  <si>
    <t>SUBMÓDULO 4.1 - AUSÊNCIAS LEGAIS</t>
  </si>
  <si>
    <t>SUBMÓDULO 4.2 - INTRAJORNADA</t>
  </si>
  <si>
    <t>divisor de hora</t>
  </si>
  <si>
    <t>CUSTO POR HORA DO REPOSITOR</t>
  </si>
  <si>
    <t>Valor da hora</t>
  </si>
  <si>
    <t>Necessidade de Reposição (horas)</t>
  </si>
  <si>
    <t>Submódulo 4.1</t>
  </si>
  <si>
    <t>Submódulo 4.2</t>
  </si>
  <si>
    <t>MÓDULO 5 - INSUMOS DE MÃO DE OBRA</t>
  </si>
  <si>
    <t>MÓDULO 6 - CUSTOS INDIRETOS, TRIBUTOS E LUCRO</t>
  </si>
  <si>
    <t>Subordinados</t>
  </si>
  <si>
    <t>RATEIO DA CHEFIA DE CAMPO</t>
  </si>
  <si>
    <t>Módulo</t>
  </si>
  <si>
    <t>12x36 Diurno</t>
  </si>
  <si>
    <t>12x36 Noturno</t>
  </si>
  <si>
    <t>Remuneração</t>
  </si>
  <si>
    <t>Encargos e Benefícios</t>
  </si>
  <si>
    <t>Rescisão</t>
  </si>
  <si>
    <t>Reposição do Profissional Ausente</t>
  </si>
  <si>
    <t>Insumos Diversos</t>
  </si>
  <si>
    <t>Custos Indiretos, Tributos e Lucro</t>
  </si>
  <si>
    <t>Valor por Empregado</t>
  </si>
  <si>
    <t>Valor por Posto</t>
  </si>
  <si>
    <t>Rateio da Chefia de Campo</t>
  </si>
  <si>
    <t xml:space="preserve">Férias </t>
  </si>
  <si>
    <t>13° Salário</t>
  </si>
  <si>
    <t>MÓDULO 2 - ENCARGOS E BENEFÍCIOS (ANUAIS, MENSAIS E DIÁRIOS)</t>
  </si>
  <si>
    <t>Valor provisionado do 13º Salário</t>
  </si>
  <si>
    <t>Provisionamento Mensal</t>
  </si>
  <si>
    <t>SUBMÓDULO 2.1 – 13° SALÁRIO, FÉRIAS E ADICIONAL DE FÉRIAS</t>
  </si>
  <si>
    <t>Valor da Gratificação</t>
  </si>
  <si>
    <t>Cargo B (12x36 Diurno)</t>
  </si>
  <si>
    <t>Cargo B (12x36 Noturno)</t>
  </si>
  <si>
    <t>13° SALÁRIO
Previsto no Decreto 57.155, de 1965.</t>
  </si>
  <si>
    <t>FÉRIAS
Previsto no art. 7° da Constituição Federal</t>
  </si>
  <si>
    <t>Porobabilidade de ocorrência de ausências legais, conforme previsão do art. 473 da Consolidação das Leis do Trabalho.</t>
  </si>
  <si>
    <t>INFORMAÇÃO DE PERCENTUAIS ESTIMADOS DE CITL</t>
  </si>
  <si>
    <t>Custos Indiretos</t>
  </si>
  <si>
    <t>Tributos</t>
  </si>
  <si>
    <t>Lucro</t>
  </si>
  <si>
    <t>CUSTO DO TRABALHADOR</t>
  </si>
  <si>
    <t>CUSTO TOTAL POR TRABALHADOR</t>
  </si>
  <si>
    <t xml:space="preserve">UNIFORMES - COMPOSIÇÃO - VALOR ANUAL </t>
  </si>
  <si>
    <t>Item</t>
  </si>
  <si>
    <t>qte</t>
  </si>
  <si>
    <t>Vr. Unitario</t>
  </si>
  <si>
    <t>Calça</t>
  </si>
  <si>
    <t>Camisa</t>
  </si>
  <si>
    <t xml:space="preserve">Custo anual por Pessoa  </t>
  </si>
  <si>
    <t>UNIFORMES</t>
  </si>
  <si>
    <t xml:space="preserve">Custo mensal </t>
  </si>
  <si>
    <t>Descrição</t>
  </si>
  <si>
    <t>Cotação</t>
  </si>
  <si>
    <t xml:space="preserve">Valor total </t>
  </si>
  <si>
    <t>CUSTO MENSAL DOS EQUIPAMENTOS</t>
  </si>
  <si>
    <t>Custo com Uniformes</t>
  </si>
  <si>
    <t>Módulo 1 - Composição da Remuneração</t>
  </si>
  <si>
    <t>Composição da Remuneração</t>
  </si>
  <si>
    <t>Valor (R$)</t>
  </si>
  <si>
    <t>A</t>
  </si>
  <si>
    <t>B</t>
  </si>
  <si>
    <t>C</t>
  </si>
  <si>
    <t>D</t>
  </si>
  <si>
    <t>E</t>
  </si>
  <si>
    <t>F</t>
  </si>
  <si>
    <t>G</t>
  </si>
  <si>
    <t>Outros (especificar)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</si>
  <si>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</si>
  <si>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</si>
  <si>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</si>
  <si>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</si>
  <si>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</si>
  <si>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</si>
  <si>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</si>
  <si>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</si>
  <si>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</si>
  <si>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</si>
  <si>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</si>
  <si>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</si>
  <si>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</si>
  <si>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</si>
  <si>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</si>
  <si>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H</t>
  </si>
  <si>
    <t xml:space="preserve">Total </t>
  </si>
  <si>
    <t>Submódulo 2.3 - Benefícios Mensais e Diários.</t>
  </si>
  <si>
    <t>2.3</t>
  </si>
  <si>
    <t>Benefícios Mensais e Diários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</si>
  <si>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</si>
  <si>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</si>
  <si>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</si>
  <si>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</si>
  <si>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</si>
  <si>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</si>
  <si>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</si>
  <si>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</si>
  <si>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dos encargos do submódulo 2.2 sobre o Aviso Prévio Trabalhado</t>
  </si>
  <si>
    <t>Multa do FGTS e contribuição social sobre o Aviso Prévio Trabalhado</t>
  </si>
  <si>
    <t>Módulo 4 - Custo de Reposição do Profissional Ausente</t>
  </si>
  <si>
    <t>Submódulo 4.1 - Ausências Legais</t>
  </si>
  <si>
    <t>4.1</t>
  </si>
  <si>
    <t>Ausências Legais</t>
  </si>
  <si>
    <t>Submódulo 4.2 - Intrajornada</t>
  </si>
  <si>
    <t>4.2</t>
  </si>
  <si>
    <t>Intrajornada</t>
  </si>
  <si>
    <t>Quadro-Resumo do Módulo 4 - Custo de Reposição do Profissional Ausente</t>
  </si>
  <si>
    <t>Custo de Reposição do Profissional Ausente</t>
  </si>
  <si>
    <t>Módulo 5 - Insumos Diversos</t>
  </si>
  <si>
    <t>Uniformes</t>
  </si>
  <si>
    <t>Materiais</t>
  </si>
  <si>
    <t>Equipamentos</t>
  </si>
  <si>
    <t>Módulo 6 - Custos Indiretos, Tributos e Lucro</t>
  </si>
  <si>
    <t>C.1. Tributos Federais (especificar)</t>
  </si>
  <si>
    <t>C.2. Tributos Estaduais (especificar)</t>
  </si>
  <si>
    <t>C.3. Tributos Municipais (especificar)</t>
  </si>
  <si>
    <t>2. QUADRO-RESUMO DO CUSTO POR EMPREGADO</t>
  </si>
  <si>
    <t>Mão de obra vinculada à execução contratual (valor por empregado)</t>
  </si>
  <si>
    <t>Subtotal (A + B +C+ D+E)</t>
  </si>
  <si>
    <t>Módulo 6 – Custos Indiretos, Tributos e Lucro</t>
  </si>
  <si>
    <t xml:space="preserve">Valor Total por Empregado </t>
  </si>
  <si>
    <t>PLANILHA DE CUSTOS E FORMAÇÃO DE PREÇOS</t>
  </si>
  <si>
    <t xml:space="preserve">MODELO DE FORMAÇÃO DE CUSTO MENSAL PARA UM EMPREGADO </t>
  </si>
  <si>
    <t>BENEFÍCIO yyy</t>
  </si>
  <si>
    <t>Benefício y</t>
  </si>
  <si>
    <t>* Previsto no art. 195 da Constituição Federal. 
* Os percentuais informados não são taxativos e deverão observar o enquadramento real das empresas prestadoras de serviço, em especial no que diz respeito ao SAT-GIIL/RAT.</t>
  </si>
  <si>
    <t>* Para os casos em que há Supervisor e este não for contratado como um posto de trabalho, a exemplo dos serviços de vigilância patrimonial, seu custo deverá ser rateado pelo total de empregados supervisionados, conforme disposição do Anexo VII-D da Insrução Normativa n° 5, de 2017.</t>
  </si>
  <si>
    <t>Com ajustes após publicação da Lei n° 13.467, de 2017.</t>
  </si>
  <si>
    <t>Intervalo para repouso e alimentação</t>
  </si>
  <si>
    <t>ADICIONAL DE PERICULOSIDADE</t>
  </si>
  <si>
    <t>SERVIÇO</t>
  </si>
  <si>
    <t>Posto de vigilância armada, 12 horas diurnas, jornada de 12x36, de segunda-feira a domingo totalizando 360 horas mensais.</t>
  </si>
  <si>
    <t>Posto de vigilância armada, 12 horas noturnas, jornada de 12x36, de segunda-feira a domingo totalizando 360 horas mensais.</t>
  </si>
  <si>
    <t>Vigilante</t>
  </si>
  <si>
    <t>Supervisor</t>
  </si>
  <si>
    <t>Vigilante (12x36 Diurno)</t>
  </si>
  <si>
    <t>Supervisor (12x36 Diurno)</t>
  </si>
  <si>
    <t>Supervisor (12x36 Noturno)</t>
  </si>
  <si>
    <t>Vigilante (12x36 Noturno)</t>
  </si>
  <si>
    <t>Superviso (12x36 Noturno)</t>
  </si>
  <si>
    <t>Valor do Posto diurno (12x36)</t>
  </si>
  <si>
    <t>Especificação do Posto</t>
  </si>
  <si>
    <t>CUSTO VALE ALIMENTAÇÃO/REFEIÇÃO</t>
  </si>
  <si>
    <t>AVISO PRÉVIO INDENIZADO + FGTS DO AVISO PRÉVIO</t>
  </si>
  <si>
    <t>Incidência FGTS</t>
  </si>
  <si>
    <t>Custo do Aviso Prévio</t>
  </si>
  <si>
    <t>Multa FGTS</t>
  </si>
  <si>
    <t>Percentual de Incidência</t>
  </si>
  <si>
    <t>AVISO PRÉVIO TRABALHADO +  ENCARGOS E BENEFÍCIOS DO AVISO PRÉVIO TRABALHADO</t>
  </si>
  <si>
    <t>Incidência dos Encargos Submódulo 2.2</t>
  </si>
  <si>
    <t>MULTA DO FGTS SOBRE O AVISO PRÉVIO TRABALHADO</t>
  </si>
  <si>
    <t>Incidência Submódulo 2,2</t>
  </si>
  <si>
    <t>ESCALAS</t>
  </si>
  <si>
    <t>Total Aviso Prévio Indenizado</t>
  </si>
  <si>
    <t>Total Aviso Prévio Trabalhado</t>
  </si>
  <si>
    <t>RATEIO CHEFIA DE CAMPO</t>
  </si>
  <si>
    <t>Rateio Chefia de Campo</t>
  </si>
  <si>
    <t xml:space="preserve">Outros </t>
  </si>
  <si>
    <t>Outros</t>
  </si>
  <si>
    <r>
      <t>BENEFÍCIO YYY</t>
    </r>
    <r>
      <rPr>
        <sz val="12"/>
        <color theme="1"/>
        <rFont val="Times New Roman"/>
        <family val="1"/>
      </rPr>
      <t xml:space="preserve">
</t>
    </r>
    <r>
      <rPr>
        <sz val="12"/>
        <color rgb="FFFF0000"/>
        <rFont val="Times New Roman"/>
        <family val="1"/>
      </rPr>
      <t>Utilizar este campo em caso de outros benefícios previstos em Convenção Coletiva, sempre especificando o tipo, finalidade e previsão legal do mesmo.</t>
    </r>
  </si>
  <si>
    <t>Vigilante Motorizado (12x36 Diurno)</t>
  </si>
  <si>
    <t>VIGILANTE</t>
  </si>
  <si>
    <t>RATEIO DO SUPERVISOR</t>
  </si>
  <si>
    <t>Supervisor - Vigilante Líder</t>
  </si>
  <si>
    <t xml:space="preserve">ADICIONAL NOTURNO </t>
  </si>
  <si>
    <t>GRATIFICAÇÃO DE FUNÇÃO E ADICIONAIS</t>
  </si>
  <si>
    <t xml:space="preserve">ADICIONAL </t>
  </si>
  <si>
    <t xml:space="preserve">CUSTO BENEFÍCIO PROGRAMA FAMILIAR  E SAUDE -  CARD SAÚDE- ABRAPS BOMBANK </t>
  </si>
  <si>
    <t>Horas</t>
  </si>
  <si>
    <t>Especificação</t>
  </si>
  <si>
    <t>Unidades</t>
  </si>
  <si>
    <t>Quant. Anual</t>
  </si>
  <si>
    <t>Valor Unit. R$</t>
  </si>
  <si>
    <t>Valor Médio Anual</t>
  </si>
  <si>
    <t>Unid.</t>
  </si>
  <si>
    <t>Par</t>
  </si>
  <si>
    <t>Valor Mensal por Trabalhador</t>
  </si>
  <si>
    <t>Coturno</t>
  </si>
  <si>
    <t>Boné</t>
  </si>
  <si>
    <t>Cinto de Nylon</t>
  </si>
  <si>
    <t>Jaqueta</t>
  </si>
  <si>
    <t>Meia</t>
  </si>
  <si>
    <t>Crachá</t>
  </si>
  <si>
    <t>Capa de Chuva</t>
  </si>
  <si>
    <t>Capa de Colete</t>
  </si>
  <si>
    <t>Valor Médio Mensal</t>
  </si>
  <si>
    <t>Valor Anual por Trabalhador</t>
  </si>
  <si>
    <t>Cinto de Guarnição</t>
  </si>
  <si>
    <t>Livro de Ocorrência</t>
  </si>
  <si>
    <t>Cassetete</t>
  </si>
  <si>
    <t>Porta cassetete</t>
  </si>
  <si>
    <t>Apito com Cordão</t>
  </si>
  <si>
    <t>Lanterna Com Bateria sobressalente</t>
  </si>
  <si>
    <t>Munição</t>
  </si>
  <si>
    <t>Colete (Placa)</t>
  </si>
  <si>
    <t>Rádio Comunicador</t>
  </si>
  <si>
    <t>Bastão de Ronda Eletrônica</t>
  </si>
  <si>
    <t>Prancheta</t>
  </si>
  <si>
    <t>Caneta</t>
  </si>
  <si>
    <t>Motocicleta</t>
  </si>
  <si>
    <t>Litro</t>
  </si>
  <si>
    <t>Quantidade Anual</t>
  </si>
  <si>
    <t>Valor Anual</t>
  </si>
  <si>
    <t xml:space="preserve">MATERIAIS - COMPOSIÇÃO - VALOR ANUAL </t>
  </si>
  <si>
    <t>Custo com Materiais</t>
  </si>
  <si>
    <t>Custo com Equipamentos - Depreciação</t>
  </si>
  <si>
    <t>Vida Útil (meses)</t>
  </si>
  <si>
    <t>Duração dos itens - em meses (vida útil)</t>
  </si>
  <si>
    <t>MATERIAIS - Por Posto</t>
  </si>
  <si>
    <t>UNIFORMES - Por Vigilante</t>
  </si>
  <si>
    <t>EQUIPAMENTOS - DEPRECIAÇÃO - Por Posto</t>
  </si>
  <si>
    <t>Valor Depreciação Mensal</t>
  </si>
  <si>
    <t>Valor Anual por Posto</t>
  </si>
  <si>
    <t>Valor Mensal por Posto</t>
  </si>
  <si>
    <t>Custo anual por Posto</t>
  </si>
  <si>
    <t>MATERIAIS - Posto Motorizado</t>
  </si>
  <si>
    <t>Valor Anual por Posto Motorizado</t>
  </si>
  <si>
    <t>Valor Mensal por Posto Motorizado</t>
  </si>
  <si>
    <t>Quantidade de Postos</t>
  </si>
  <si>
    <t>Quantidade de Vigilantes</t>
  </si>
  <si>
    <t>Valor Mensal Por Vigilante</t>
  </si>
  <si>
    <t>Valor Mensal Por Posto</t>
  </si>
  <si>
    <t>Valor Anual do Contrato</t>
  </si>
  <si>
    <t>Valor Mensal do Contrato</t>
  </si>
  <si>
    <t>RESUMO - ESTIMATIVA DE PREÇO</t>
  </si>
  <si>
    <t>TOTAL DE POSTOS</t>
  </si>
  <si>
    <t>TOTAL DE VIGILANTES</t>
  </si>
  <si>
    <t>CPCS- Posto de vigilância armada, de 12 horas diurnas, jornada de 12x36, de segunda-feira a domingo, totalizando 360 horas mensais.</t>
  </si>
  <si>
    <t>CPCS- Posto de vigilância armada, de 12 horas noturnas, jornada de 12x36, de segunda-feira a domingo, totalizando 360 horas mensais.</t>
  </si>
  <si>
    <t>CPCS- Posto motorizado (motocicleta) de vigilância armada, 12 horas diurnas, jornada de 12x36, de segunda-feira a domingo totalizando 360 horas mensais.</t>
  </si>
  <si>
    <t>CPCS- Posto motorizado (motocicleta) de vigilância armada, 12 horas noturnas, jornada de 12x36, de segunda-feira a domingo totalizando 360 horas mensais.</t>
  </si>
  <si>
    <t>Revolver Calibre 38</t>
  </si>
  <si>
    <t>EQUIPAMENTOS - DEPRECIAÇÃO - Por Posto Motorizado</t>
  </si>
  <si>
    <t>Equipamentos  - Posto Motorizado</t>
  </si>
  <si>
    <t>MATERIAIS</t>
  </si>
  <si>
    <t>VALOR GLOBAL ANUAL</t>
  </si>
  <si>
    <t>VALOR GLOBAL MENSAL</t>
  </si>
  <si>
    <t>MATERIAIS - COMPOSIÇÃO - VALOR ANUAL  - Apenas Posto Motorizado</t>
  </si>
  <si>
    <t>Custo anual por Posto - Chapadão de Sul</t>
  </si>
  <si>
    <t>EQUIPAMENTOS - Depreciação</t>
  </si>
  <si>
    <t>Vig. Motorizado - CS (12x36 Diurno)</t>
  </si>
  <si>
    <t>Vig. Motorizado - CS (12x36 Noturno)</t>
  </si>
  <si>
    <t>VIGILANTE MOTORIZADO - CS</t>
  </si>
  <si>
    <t>Depreciação Mensal</t>
  </si>
  <si>
    <t>LOTE 03 - CPBO/CPCX/CPCS/CPAR - ESTIMATIVA  DE PREÇOS</t>
  </si>
  <si>
    <t>CONFORME CONVENÇÃO COLETIVA DE TRABALHO 2024/2026 - NÚMERO DE REGISTRO NO MTE: MS000168/2024</t>
  </si>
  <si>
    <t>SALÁRIO BASE - Cláusula 3ª, CCT 2024/2026</t>
  </si>
  <si>
    <t>GRATIFICAÇÃO DE FUNÇÃO E ADICIONAIS - Cláusula 12ª CCT 2024/2026, § 1º, Alínea a</t>
  </si>
  <si>
    <t>GRATIFICAÇÃO DE FUNÇÃO E ADICIONAIS - Cláusula 12ª CCT 2024/2026, § 2º, Alínea a</t>
  </si>
  <si>
    <t>ADICIONAIS (periculosidade ou insalubridade, se houver)  - Cláusula 14º CCT 2024/2026</t>
  </si>
  <si>
    <t>ADICIONAL NOTURNO - Cláusula 13ª CCT 2024/2026</t>
  </si>
  <si>
    <t>ADICIONAL - Clausula 31º, § 4º - CCT 2024/2026</t>
  </si>
  <si>
    <t>Salário Base - Cláusula 3ª, CCT 2024/2026</t>
  </si>
  <si>
    <t xml:space="preserve">Gratificação de Função e Adicional -  Cláusula 12ª CCT 2024/2026, § 1º, Alínea a </t>
  </si>
  <si>
    <t xml:space="preserve">Gratificação de Função e Adicional -  Cláusula 12ª CCT 2024/2026, § 2º, Alínea a </t>
  </si>
  <si>
    <t>Adicional de   Periculosidade   - Cláusula 14º CCT 2024/2026</t>
  </si>
  <si>
    <t>Adicional Noturno - Cláusula 13ª CCT 2024/2026</t>
  </si>
  <si>
    <t>Adicional - Clausula 31º, § 4º - CCT 2024/2026</t>
  </si>
  <si>
    <t>VALE TRANSPORTE - Cláusula 16ª CCT 2024/2026</t>
  </si>
  <si>
    <t>VALE ALIMENTAÇÃO/REFEIÇÃO - Cláusula 15ª CCT 2024/2026</t>
  </si>
  <si>
    <t>BENEFÍCIO PROGRAMA FAMILIAR E SAÚDE - Cláusula 58ª CCT 2024/2026</t>
  </si>
  <si>
    <t>Vale Transporte - Cláusula 16ª CCT 2024/2026</t>
  </si>
  <si>
    <t>Vale Refeição - Cláusula 15ª CCT 2024/2026</t>
  </si>
  <si>
    <t xml:space="preserve"> Card Saúde- Abraps Bombank - Clausula 58º CCT 2024/2026</t>
  </si>
  <si>
    <t>Vigilante Motorizado(12x36 Noturno)</t>
  </si>
  <si>
    <t>CÂMPUS TRÊS LAGOAS - PROPOSTA DE PREÇO</t>
  </si>
  <si>
    <t>Gasolina - Três Lagoas</t>
  </si>
  <si>
    <t>LOTE 02 - TRÊS LAGOAS - ESTIMATIVA  DE PREÇOS</t>
  </si>
  <si>
    <t>LOTE 02 - TRÊS LAGOAS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</si>
</sst>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#,##0.00;[Red]#,##0.00"/>
    <numFmt numFmtId="165" formatCode="0.0000"/>
    <numFmt numFmtId="166" formatCode="#,##0.0000_ ;\-#,##0.0000\ "/>
    <numFmt numFmtId="167" formatCode="_(* #,##0.00_);_(* \(#,##0.00\);_(* \-??_);_(@_)"/>
    <numFmt numFmtId="168" formatCode="#,##0_ ;\-#,##0\ 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b/>
      <sz val="12"/>
      <color rgb="FF00B050"/>
      <name val="Times New Roman"/>
      <family val="1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64"/>
      <name val="Calibri"/>
      <family val="2"/>
      <scheme val="minor"/>
    </font>
    <font>
      <sz val="12"/>
      <color rgb="FFFF0000"/>
      <name val="Times New Roman"/>
      <family val="1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2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8"/>
      <color theme="0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1"/>
      <color rgb="FF000000"/>
      <name val="Times New Roman"/>
      <family val="1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Times New Roman"/>
      <family val="1"/>
    </font>
    <font>
      <b/>
      <sz val="12"/>
      <color theme="1"/>
      <name val="Arial"/>
      <family val="2"/>
    </font>
    <font>
      <b/>
      <sz val="14"/>
      <color rgb="FF000000"/>
      <name val="Times New Roman"/>
      <family val="1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Calibri"/>
      <family val="2"/>
    </font>
  </fonts>
  <fills count="49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39997558519241921"/>
        <bgColor indexed="41"/>
      </patternFill>
    </fill>
    <fill>
      <patternFill patternType="solid">
        <fgColor theme="4" tint="0.39997558519241921"/>
        <b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9CC2E5"/>
        <bgColor rgb="FF9CC2E5"/>
      </patternFill>
    </fill>
    <fill>
      <patternFill patternType="solid">
        <fgColor theme="4"/>
        <bgColor indexed="64"/>
      </patternFill>
    </fill>
    <fill>
      <patternFill patternType="solid">
        <fgColor rgb="FFDEEAF6"/>
        <bgColor rgb="FFDEEAF6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rgb="FFDEEAF6"/>
      </patternFill>
    </fill>
    <fill>
      <patternFill patternType="solid">
        <fgColor theme="9" tint="0.79998168889431442"/>
        <bgColor indexed="64"/>
      </patternFill>
    </fill>
  </fills>
  <borders count="8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</borders>
  <cellStyleXfs count="54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5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41" applyNumberFormat="0" applyFill="0" applyAlignment="0" applyProtection="0"/>
    <xf numFmtId="0" fontId="9" fillId="0" borderId="42" applyNumberFormat="0" applyFill="0" applyAlignment="0" applyProtection="0"/>
    <xf numFmtId="0" fontId="10" fillId="0" borderId="43" applyNumberFormat="0" applyFill="0" applyAlignment="0" applyProtection="0"/>
    <xf numFmtId="0" fontId="10" fillId="0" borderId="0" applyNumberFormat="0" applyFill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0" applyNumberFormat="0" applyBorder="0" applyAlignment="0" applyProtection="0"/>
    <xf numFmtId="0" fontId="14" fillId="8" borderId="44" applyNumberFormat="0" applyAlignment="0" applyProtection="0"/>
    <xf numFmtId="0" fontId="15" fillId="9" borderId="45" applyNumberFormat="0" applyAlignment="0" applyProtection="0"/>
    <xf numFmtId="0" fontId="16" fillId="9" borderId="44" applyNumberFormat="0" applyAlignment="0" applyProtection="0"/>
    <xf numFmtId="0" fontId="17" fillId="0" borderId="46" applyNumberFormat="0" applyFill="0" applyAlignment="0" applyProtection="0"/>
    <xf numFmtId="0" fontId="18" fillId="10" borderId="47" applyNumberFormat="0" applyAlignment="0" applyProtection="0"/>
    <xf numFmtId="0" fontId="19" fillId="0" borderId="0" applyNumberFormat="0" applyFill="0" applyBorder="0" applyAlignment="0" applyProtection="0"/>
    <xf numFmtId="0" fontId="1" fillId="11" borderId="48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49" applyNumberFormat="0" applyFill="0" applyAlignment="0" applyProtection="0"/>
    <xf numFmtId="0" fontId="22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22" fillId="35" borderId="0" applyNumberFormat="0" applyBorder="0" applyAlignment="0" applyProtection="0"/>
    <xf numFmtId="43" fontId="1" fillId="0" borderId="0" applyFont="0" applyFill="0" applyBorder="0" applyAlignment="0" applyProtection="0"/>
    <xf numFmtId="0" fontId="23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4" fillId="0" borderId="0"/>
  </cellStyleXfs>
  <cellXfs count="437">
    <xf numFmtId="0" fontId="0" fillId="0" borderId="0" xfId="0"/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3" fillId="0" borderId="12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164" fontId="3" fillId="0" borderId="14" xfId="0" applyNumberFormat="1" applyFont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 wrapText="1"/>
    </xf>
    <xf numFmtId="10" fontId="3" fillId="0" borderId="5" xfId="1" applyNumberFormat="1" applyFont="1" applyBorder="1" applyAlignment="1">
      <alignment horizontal="center" vertical="center"/>
    </xf>
    <xf numFmtId="10" fontId="3" fillId="0" borderId="3" xfId="1" applyNumberFormat="1" applyFont="1" applyBorder="1" applyAlignment="1">
      <alignment horizontal="center" vertical="center"/>
    </xf>
    <xf numFmtId="10" fontId="3" fillId="0" borderId="7" xfId="1" applyNumberFormat="1" applyFont="1" applyBorder="1" applyAlignment="1">
      <alignment horizontal="center" vertical="center"/>
    </xf>
    <xf numFmtId="1" fontId="3" fillId="0" borderId="12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" fontId="3" fillId="0" borderId="13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10" fontId="2" fillId="2" borderId="11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0" fontId="3" fillId="0" borderId="1" xfId="0" applyNumberFormat="1" applyFont="1" applyBorder="1" applyAlignment="1">
      <alignment horizontal="center" vertical="center"/>
    </xf>
    <xf numFmtId="40" fontId="2" fillId="0" borderId="5" xfId="0" applyNumberFormat="1" applyFont="1" applyBorder="1" applyAlignment="1">
      <alignment horizontal="center" vertical="center"/>
    </xf>
    <xf numFmtId="40" fontId="3" fillId="0" borderId="12" xfId="0" applyNumberFormat="1" applyFont="1" applyBorder="1" applyAlignment="1">
      <alignment horizontal="center" vertical="center"/>
    </xf>
    <xf numFmtId="40" fontId="2" fillId="0" borderId="3" xfId="0" applyNumberFormat="1" applyFont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9" fontId="3" fillId="0" borderId="2" xfId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9" fontId="3" fillId="0" borderId="4" xfId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9" fontId="3" fillId="0" borderId="6" xfId="1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165" fontId="2" fillId="2" borderId="15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165" fontId="3" fillId="0" borderId="13" xfId="0" applyNumberFormat="1" applyFont="1" applyBorder="1" applyAlignment="1">
      <alignment horizontal="center" vertical="center"/>
    </xf>
    <xf numFmtId="165" fontId="3" fillId="0" borderId="12" xfId="0" applyNumberFormat="1" applyFont="1" applyBorder="1" applyAlignment="1">
      <alignment horizontal="center" vertical="center"/>
    </xf>
    <xf numFmtId="164" fontId="2" fillId="2" borderId="15" xfId="0" applyNumberFormat="1" applyFont="1" applyFill="1" applyBorder="1" applyAlignment="1">
      <alignment horizontal="center" vertical="center"/>
    </xf>
    <xf numFmtId="10" fontId="3" fillId="0" borderId="9" xfId="1" applyNumberFormat="1" applyFont="1" applyFill="1" applyBorder="1" applyAlignment="1">
      <alignment horizontal="center" vertical="center"/>
    </xf>
    <xf numFmtId="10" fontId="3" fillId="0" borderId="5" xfId="1" applyNumberFormat="1" applyFont="1" applyFill="1" applyBorder="1" applyAlignment="1">
      <alignment horizontal="center" vertical="center"/>
    </xf>
    <xf numFmtId="10" fontId="3" fillId="0" borderId="26" xfId="1" applyNumberFormat="1" applyFont="1" applyFill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5" fontId="3" fillId="0" borderId="13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/>
    </xf>
    <xf numFmtId="40" fontId="3" fillId="0" borderId="13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9" fontId="3" fillId="0" borderId="12" xfId="1" applyFont="1" applyBorder="1" applyAlignment="1">
      <alignment horizontal="center" vertical="center"/>
    </xf>
    <xf numFmtId="9" fontId="3" fillId="0" borderId="1" xfId="1" applyFont="1" applyBorder="1" applyAlignment="1">
      <alignment horizontal="center" vertical="center"/>
    </xf>
    <xf numFmtId="9" fontId="3" fillId="0" borderId="13" xfId="1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164" fontId="3" fillId="0" borderId="25" xfId="0" applyNumberFormat="1" applyFont="1" applyBorder="1" applyAlignment="1">
      <alignment horizontal="center" vertical="center"/>
    </xf>
    <xf numFmtId="9" fontId="3" fillId="0" borderId="25" xfId="1" applyFont="1" applyBorder="1" applyAlignment="1">
      <alignment horizontal="center" vertical="center"/>
    </xf>
    <xf numFmtId="10" fontId="3" fillId="0" borderId="12" xfId="1" applyNumberFormat="1" applyFont="1" applyBorder="1" applyAlignment="1">
      <alignment horizontal="center" vertical="center"/>
    </xf>
    <xf numFmtId="10" fontId="3" fillId="0" borderId="13" xfId="1" applyNumberFormat="1" applyFont="1" applyBorder="1" applyAlignment="1">
      <alignment horizontal="center" vertical="center"/>
    </xf>
    <xf numFmtId="164" fontId="2" fillId="0" borderId="26" xfId="0" applyNumberFormat="1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0" fontId="3" fillId="0" borderId="13" xfId="0" applyNumberFormat="1" applyFont="1" applyBorder="1" applyAlignment="1">
      <alignment horizontal="center" vertical="center"/>
    </xf>
    <xf numFmtId="10" fontId="3" fillId="0" borderId="12" xfId="0" applyNumberFormat="1" applyFont="1" applyBorder="1" applyAlignment="1">
      <alignment horizontal="center" vertical="center"/>
    </xf>
    <xf numFmtId="10" fontId="3" fillId="0" borderId="1" xfId="1" applyNumberFormat="1" applyFont="1" applyBorder="1" applyAlignment="1">
      <alignment horizontal="center" vertical="center"/>
    </xf>
    <xf numFmtId="39" fontId="3" fillId="0" borderId="12" xfId="5" applyNumberFormat="1" applyFont="1" applyFill="1" applyBorder="1" applyAlignment="1" applyProtection="1">
      <alignment horizontal="center" vertical="center"/>
    </xf>
    <xf numFmtId="39" fontId="3" fillId="0" borderId="1" xfId="5" applyNumberFormat="1" applyFont="1" applyFill="1" applyBorder="1" applyAlignment="1" applyProtection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4" borderId="20" xfId="0" applyFont="1" applyFill="1" applyBorder="1" applyAlignment="1">
      <alignment horizontal="center" vertical="center"/>
    </xf>
    <xf numFmtId="4" fontId="3" fillId="0" borderId="12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3" fillId="38" borderId="4" xfId="0" applyFont="1" applyFill="1" applyBorder="1" applyAlignment="1">
      <alignment horizontal="center" vertical="center" wrapText="1"/>
    </xf>
    <xf numFmtId="10" fontId="3" fillId="38" borderId="5" xfId="1" applyNumberFormat="1" applyFont="1" applyFill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10" fontId="3" fillId="0" borderId="12" xfId="1" applyNumberFormat="1" applyFont="1" applyFill="1" applyBorder="1" applyAlignment="1" applyProtection="1">
      <alignment horizontal="center" vertical="center"/>
    </xf>
    <xf numFmtId="10" fontId="3" fillId="0" borderId="1" xfId="1" applyNumberFormat="1" applyFont="1" applyFill="1" applyBorder="1" applyAlignment="1" applyProtection="1">
      <alignment horizontal="center" vertical="center"/>
    </xf>
    <xf numFmtId="0" fontId="4" fillId="0" borderId="0" xfId="0" applyFont="1" applyAlignment="1">
      <alignment vertical="center"/>
    </xf>
    <xf numFmtId="167" fontId="3" fillId="0" borderId="0" xfId="3" applyFont="1" applyFill="1" applyBorder="1" applyAlignment="1" applyProtection="1">
      <alignment horizontal="center" vertical="center"/>
    </xf>
    <xf numFmtId="167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4" fillId="3" borderId="20" xfId="0" applyFont="1" applyFill="1" applyBorder="1" applyAlignment="1">
      <alignment horizontal="center" vertical="center"/>
    </xf>
    <xf numFmtId="0" fontId="29" fillId="0" borderId="8" xfId="0" applyFont="1" applyBorder="1" applyAlignment="1">
      <alignment horizontal="center" vertical="center"/>
    </xf>
    <xf numFmtId="1" fontId="29" fillId="0" borderId="14" xfId="3" applyNumberFormat="1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1" fontId="29" fillId="0" borderId="1" xfId="3" applyNumberFormat="1" applyFont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 wrapText="1"/>
    </xf>
    <xf numFmtId="4" fontId="27" fillId="0" borderId="3" xfId="0" applyNumberFormat="1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52" xfId="0" applyFont="1" applyBorder="1" applyAlignment="1">
      <alignment vertical="center" wrapText="1"/>
    </xf>
    <xf numFmtId="0" fontId="3" fillId="0" borderId="52" xfId="0" applyFont="1" applyBorder="1" applyAlignment="1">
      <alignment horizontal="center" vertical="center" wrapText="1"/>
    </xf>
    <xf numFmtId="10" fontId="3" fillId="0" borderId="52" xfId="0" applyNumberFormat="1" applyFont="1" applyBorder="1" applyAlignment="1">
      <alignment horizontal="center" vertical="center" wrapText="1"/>
    </xf>
    <xf numFmtId="10" fontId="3" fillId="36" borderId="5" xfId="1" applyNumberFormat="1" applyFont="1" applyFill="1" applyBorder="1" applyAlignment="1">
      <alignment horizontal="center" vertical="center"/>
    </xf>
    <xf numFmtId="0" fontId="2" fillId="0" borderId="29" xfId="0" applyFont="1" applyBorder="1" applyAlignment="1">
      <alignment vertical="center" wrapText="1"/>
    </xf>
    <xf numFmtId="0" fontId="3" fillId="0" borderId="0" xfId="0" applyFont="1"/>
    <xf numFmtId="0" fontId="2" fillId="0" borderId="33" xfId="0" applyFont="1" applyBorder="1" applyAlignment="1">
      <alignment horizontal="center" vertical="center" wrapText="1"/>
    </xf>
    <xf numFmtId="4" fontId="29" fillId="37" borderId="14" xfId="3" applyNumberFormat="1" applyFont="1" applyFill="1" applyBorder="1" applyAlignment="1">
      <alignment horizontal="center" vertical="center"/>
    </xf>
    <xf numFmtId="4" fontId="29" fillId="37" borderId="1" xfId="3" applyNumberFormat="1" applyFont="1" applyFill="1" applyBorder="1" applyAlignment="1">
      <alignment horizontal="center" vertical="center"/>
    </xf>
    <xf numFmtId="0" fontId="2" fillId="40" borderId="16" xfId="0" applyFont="1" applyFill="1" applyBorder="1" applyAlignment="1">
      <alignment horizontal="center" vertical="center"/>
    </xf>
    <xf numFmtId="10" fontId="2" fillId="40" borderId="17" xfId="1" applyNumberFormat="1" applyFont="1" applyFill="1" applyBorder="1" applyAlignment="1">
      <alignment horizontal="center" vertical="center"/>
    </xf>
    <xf numFmtId="10" fontId="3" fillId="36" borderId="12" xfId="0" applyNumberFormat="1" applyFont="1" applyFill="1" applyBorder="1" applyAlignment="1">
      <alignment horizontal="center" vertical="center"/>
    </xf>
    <xf numFmtId="10" fontId="3" fillId="36" borderId="1" xfId="0" applyNumberFormat="1" applyFont="1" applyFill="1" applyBorder="1" applyAlignment="1">
      <alignment horizontal="center" vertical="center"/>
    </xf>
    <xf numFmtId="10" fontId="3" fillId="36" borderId="13" xfId="0" applyNumberFormat="1" applyFont="1" applyFill="1" applyBorder="1" applyAlignment="1">
      <alignment horizontal="center" vertical="center"/>
    </xf>
    <xf numFmtId="0" fontId="28" fillId="3" borderId="10" xfId="0" applyFont="1" applyFill="1" applyBorder="1" applyAlignment="1">
      <alignment horizontal="center" vertical="center"/>
    </xf>
    <xf numFmtId="0" fontId="28" fillId="3" borderId="15" xfId="0" applyFont="1" applyFill="1" applyBorder="1" applyAlignment="1">
      <alignment horizontal="center" vertical="center"/>
    </xf>
    <xf numFmtId="0" fontId="28" fillId="3" borderId="1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32" xfId="0" applyFont="1" applyBorder="1" applyAlignment="1">
      <alignment horizontal="center" vertical="center" wrapText="1"/>
    </xf>
    <xf numFmtId="0" fontId="3" fillId="0" borderId="40" xfId="0" applyFont="1" applyBorder="1" applyAlignment="1">
      <alignment vertical="center" wrapText="1"/>
    </xf>
    <xf numFmtId="43" fontId="3" fillId="0" borderId="52" xfId="2" applyFont="1" applyBorder="1" applyAlignment="1">
      <alignment horizontal="center" vertical="center" wrapText="1"/>
    </xf>
    <xf numFmtId="43" fontId="3" fillId="0" borderId="52" xfId="0" applyNumberFormat="1" applyFont="1" applyBorder="1" applyAlignment="1">
      <alignment horizontal="center" vertical="center" wrapText="1"/>
    </xf>
    <xf numFmtId="43" fontId="2" fillId="0" borderId="52" xfId="0" applyNumberFormat="1" applyFont="1" applyBorder="1" applyAlignment="1">
      <alignment horizontal="center" vertical="center" wrapText="1"/>
    </xf>
    <xf numFmtId="43" fontId="2" fillId="0" borderId="52" xfId="2" applyFont="1" applyBorder="1" applyAlignment="1">
      <alignment horizontal="center" vertical="center" wrapText="1"/>
    </xf>
    <xf numFmtId="43" fontId="3" fillId="0" borderId="52" xfId="0" applyNumberFormat="1" applyFont="1" applyBorder="1" applyAlignment="1">
      <alignment vertical="center" wrapText="1"/>
    </xf>
    <xf numFmtId="43" fontId="2" fillId="0" borderId="52" xfId="0" applyNumberFormat="1" applyFont="1" applyBorder="1" applyAlignment="1">
      <alignment vertical="center" wrapText="1"/>
    </xf>
    <xf numFmtId="43" fontId="3" fillId="0" borderId="40" xfId="0" applyNumberFormat="1" applyFont="1" applyBorder="1" applyAlignment="1">
      <alignment vertical="center" wrapText="1"/>
    </xf>
    <xf numFmtId="43" fontId="3" fillId="0" borderId="0" xfId="0" applyNumberFormat="1" applyFont="1"/>
    <xf numFmtId="0" fontId="24" fillId="0" borderId="0" xfId="0" applyFont="1" applyAlignment="1">
      <alignment horizontal="center"/>
    </xf>
    <xf numFmtId="10" fontId="2" fillId="0" borderId="52" xfId="0" applyNumberFormat="1" applyFont="1" applyBorder="1" applyAlignment="1">
      <alignment horizontal="center" vertical="center" wrapText="1"/>
    </xf>
    <xf numFmtId="43" fontId="2" fillId="0" borderId="31" xfId="0" applyNumberFormat="1" applyFont="1" applyBorder="1" applyAlignment="1">
      <alignment vertical="center" wrapText="1"/>
    </xf>
    <xf numFmtId="43" fontId="0" fillId="0" borderId="0" xfId="0" applyNumberFormat="1"/>
    <xf numFmtId="0" fontId="21" fillId="0" borderId="0" xfId="0" applyFont="1"/>
    <xf numFmtId="0" fontId="4" fillId="2" borderId="22" xfId="0" applyFont="1" applyFill="1" applyBorder="1" applyAlignment="1">
      <alignment horizontal="center" vertical="justify"/>
    </xf>
    <xf numFmtId="9" fontId="27" fillId="0" borderId="12" xfId="1" applyFont="1" applyBorder="1" applyAlignment="1">
      <alignment horizontal="center" vertical="center"/>
    </xf>
    <xf numFmtId="2" fontId="3" fillId="0" borderId="3" xfId="2" applyNumberFormat="1" applyFont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2" fontId="3" fillId="0" borderId="7" xfId="2" applyNumberFormat="1" applyFont="1" applyBorder="1" applyAlignment="1">
      <alignment horizontal="center" vertical="center"/>
    </xf>
    <xf numFmtId="9" fontId="3" fillId="0" borderId="14" xfId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164" fontId="3" fillId="0" borderId="60" xfId="0" applyNumberFormat="1" applyFont="1" applyBorder="1" applyAlignment="1">
      <alignment horizontal="center" vertical="center"/>
    </xf>
    <xf numFmtId="10" fontId="3" fillId="0" borderId="60" xfId="1" applyNumberFormat="1" applyFont="1" applyBorder="1" applyAlignment="1">
      <alignment horizontal="center" vertical="center"/>
    </xf>
    <xf numFmtId="9" fontId="3" fillId="0" borderId="60" xfId="1" applyFont="1" applyBorder="1" applyAlignment="1">
      <alignment horizontal="center" vertical="center"/>
    </xf>
    <xf numFmtId="164" fontId="2" fillId="0" borderId="17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4" fontId="3" fillId="0" borderId="15" xfId="0" applyNumberFormat="1" applyFont="1" applyBorder="1" applyAlignment="1">
      <alignment horizontal="center" vertical="center"/>
    </xf>
    <xf numFmtId="10" fontId="3" fillId="0" borderId="15" xfId="1" applyNumberFormat="1" applyFont="1" applyBorder="1" applyAlignment="1">
      <alignment horizontal="center" vertical="center"/>
    </xf>
    <xf numFmtId="9" fontId="3" fillId="0" borderId="15" xfId="1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2" fontId="3" fillId="0" borderId="9" xfId="2" applyNumberFormat="1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2" fillId="43" borderId="63" xfId="0" applyFont="1" applyFill="1" applyBorder="1" applyAlignment="1">
      <alignment horizontal="center" vertical="center"/>
    </xf>
    <xf numFmtId="0" fontId="2" fillId="43" borderId="64" xfId="0" applyFont="1" applyFill="1" applyBorder="1" applyAlignment="1">
      <alignment horizontal="center" vertical="center"/>
    </xf>
    <xf numFmtId="0" fontId="2" fillId="43" borderId="64" xfId="0" applyFont="1" applyFill="1" applyBorder="1" applyAlignment="1">
      <alignment horizontal="center" vertical="center" wrapText="1"/>
    </xf>
    <xf numFmtId="0" fontId="2" fillId="43" borderId="65" xfId="0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2" fillId="43" borderId="67" xfId="0" applyFont="1" applyFill="1" applyBorder="1" applyAlignment="1">
      <alignment horizontal="center" vertical="center"/>
    </xf>
    <xf numFmtId="0" fontId="2" fillId="43" borderId="68" xfId="0" applyFont="1" applyFill="1" applyBorder="1" applyAlignment="1">
      <alignment horizontal="center" vertical="center"/>
    </xf>
    <xf numFmtId="10" fontId="3" fillId="0" borderId="0" xfId="0" applyNumberFormat="1" applyFont="1" applyAlignment="1">
      <alignment horizontal="center" vertical="center"/>
    </xf>
    <xf numFmtId="0" fontId="2" fillId="43" borderId="68" xfId="0" applyFont="1" applyFill="1" applyBorder="1" applyAlignment="1">
      <alignment horizontal="center" vertical="center" wrapText="1"/>
    </xf>
    <xf numFmtId="0" fontId="2" fillId="43" borderId="69" xfId="0" applyFont="1" applyFill="1" applyBorder="1" applyAlignment="1">
      <alignment horizontal="center" vertical="center"/>
    </xf>
    <xf numFmtId="0" fontId="3" fillId="0" borderId="50" xfId="0" applyFont="1" applyBorder="1" applyAlignment="1">
      <alignment horizontal="center" vertical="center" wrapText="1"/>
    </xf>
    <xf numFmtId="0" fontId="2" fillId="43" borderId="71" xfId="0" applyFont="1" applyFill="1" applyBorder="1" applyAlignment="1">
      <alignment horizontal="center" vertical="center"/>
    </xf>
    <xf numFmtId="0" fontId="2" fillId="43" borderId="72" xfId="0" applyFont="1" applyFill="1" applyBorder="1" applyAlignment="1">
      <alignment horizontal="center" vertical="center" wrapText="1"/>
    </xf>
    <xf numFmtId="0" fontId="2" fillId="43" borderId="72" xfId="0" applyFont="1" applyFill="1" applyBorder="1" applyAlignment="1">
      <alignment horizontal="center" vertical="center"/>
    </xf>
    <xf numFmtId="0" fontId="2" fillId="43" borderId="73" xfId="0" applyFont="1" applyFill="1" applyBorder="1" applyAlignment="1">
      <alignment horizontal="center" vertical="center"/>
    </xf>
    <xf numFmtId="10" fontId="3" fillId="0" borderId="14" xfId="0" applyNumberFormat="1" applyFont="1" applyBorder="1" applyAlignment="1">
      <alignment horizontal="center" vertical="center"/>
    </xf>
    <xf numFmtId="165" fontId="3" fillId="0" borderId="7" xfId="0" applyNumberFormat="1" applyFont="1" applyBorder="1" applyAlignment="1">
      <alignment horizontal="center" vertical="center" wrapText="1"/>
    </xf>
    <xf numFmtId="10" fontId="3" fillId="0" borderId="60" xfId="1" applyNumberFormat="1" applyFont="1" applyFill="1" applyBorder="1" applyAlignment="1">
      <alignment horizontal="center" vertical="center"/>
    </xf>
    <xf numFmtId="164" fontId="3" fillId="0" borderId="17" xfId="0" applyNumberFormat="1" applyFont="1" applyBorder="1" applyAlignment="1">
      <alignment horizontal="center" vertical="center"/>
    </xf>
    <xf numFmtId="10" fontId="3" fillId="0" borderId="15" xfId="1" applyNumberFormat="1" applyFont="1" applyFill="1" applyBorder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/>
    </xf>
    <xf numFmtId="0" fontId="30" fillId="0" borderId="0" xfId="0" applyFont="1" applyAlignment="1">
      <alignment horizontal="center"/>
    </xf>
    <xf numFmtId="167" fontId="4" fillId="3" borderId="20" xfId="0" applyNumberFormat="1" applyFont="1" applyFill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43" fontId="3" fillId="0" borderId="1" xfId="2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justify" vertical="center" wrapText="1"/>
    </xf>
    <xf numFmtId="43" fontId="3" fillId="0" borderId="12" xfId="2" applyFont="1" applyBorder="1" applyAlignment="1">
      <alignment horizontal="center" vertical="center" wrapText="1"/>
    </xf>
    <xf numFmtId="43" fontId="3" fillId="0" borderId="3" xfId="2" applyFont="1" applyBorder="1" applyAlignment="1">
      <alignment horizontal="center" vertical="center" wrapText="1"/>
    </xf>
    <xf numFmtId="43" fontId="3" fillId="0" borderId="5" xfId="2" applyFont="1" applyBorder="1" applyAlignment="1">
      <alignment horizontal="center" vertical="center" wrapText="1"/>
    </xf>
    <xf numFmtId="0" fontId="3" fillId="0" borderId="25" xfId="0" applyFont="1" applyBorder="1" applyAlignment="1">
      <alignment horizontal="justify" vertical="center" wrapText="1"/>
    </xf>
    <xf numFmtId="43" fontId="3" fillId="0" borderId="25" xfId="2" applyFont="1" applyBorder="1" applyAlignment="1">
      <alignment horizontal="center" vertical="center" wrapText="1"/>
    </xf>
    <xf numFmtId="43" fontId="3" fillId="0" borderId="26" xfId="2" applyFont="1" applyBorder="1" applyAlignment="1">
      <alignment horizontal="center" vertical="center" wrapText="1"/>
    </xf>
    <xf numFmtId="10" fontId="3" fillId="0" borderId="1" xfId="2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10" fontId="3" fillId="0" borderId="25" xfId="2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justify" vertical="center" wrapText="1"/>
    </xf>
    <xf numFmtId="10" fontId="2" fillId="0" borderId="15" xfId="2" applyNumberFormat="1" applyFont="1" applyBorder="1" applyAlignment="1">
      <alignment horizontal="center" vertical="center" wrapText="1"/>
    </xf>
    <xf numFmtId="43" fontId="2" fillId="0" borderId="11" xfId="2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0" fontId="2" fillId="0" borderId="0" xfId="0" applyNumberFormat="1" applyFont="1" applyAlignment="1">
      <alignment horizontal="center" vertical="center" wrapText="1"/>
    </xf>
    <xf numFmtId="43" fontId="2" fillId="0" borderId="0" xfId="2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4" fontId="3" fillId="0" borderId="70" xfId="0" applyNumberFormat="1" applyFont="1" applyBorder="1" applyAlignment="1">
      <alignment horizontal="right" vertical="center" wrapText="1"/>
    </xf>
    <xf numFmtId="0" fontId="24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10" fontId="3" fillId="0" borderId="25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justify" vertical="center" wrapText="1"/>
    </xf>
    <xf numFmtId="10" fontId="2" fillId="0" borderId="14" xfId="0" applyNumberFormat="1" applyFont="1" applyBorder="1" applyAlignment="1">
      <alignment horizontal="center" vertical="center" wrapText="1"/>
    </xf>
    <xf numFmtId="43" fontId="3" fillId="0" borderId="14" xfId="2" applyFont="1" applyBorder="1" applyAlignment="1">
      <alignment horizontal="center" vertical="center" wrapText="1"/>
    </xf>
    <xf numFmtId="10" fontId="2" fillId="0" borderId="15" xfId="0" applyNumberFormat="1" applyFont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center" vertical="center"/>
    </xf>
    <xf numFmtId="167" fontId="4" fillId="3" borderId="32" xfId="3" applyFont="1" applyFill="1" applyBorder="1" applyAlignment="1" applyProtection="1">
      <alignment horizontal="center" vertical="center"/>
    </xf>
    <xf numFmtId="0" fontId="2" fillId="2" borderId="32" xfId="0" applyFont="1" applyFill="1" applyBorder="1" applyAlignment="1">
      <alignment horizontal="center" vertical="center"/>
    </xf>
    <xf numFmtId="3" fontId="3" fillId="0" borderId="12" xfId="3" applyNumberFormat="1" applyFont="1" applyFill="1" applyBorder="1" applyAlignment="1" applyProtection="1">
      <alignment horizontal="center" vertical="center"/>
    </xf>
    <xf numFmtId="4" fontId="4" fillId="3" borderId="11" xfId="0" applyNumberFormat="1" applyFont="1" applyFill="1" applyBorder="1" applyAlignment="1">
      <alignment horizontal="center" vertical="center"/>
    </xf>
    <xf numFmtId="4" fontId="4" fillId="3" borderId="29" xfId="0" applyNumberFormat="1" applyFont="1" applyFill="1" applyBorder="1" applyAlignment="1">
      <alignment horizontal="center" vertical="center"/>
    </xf>
    <xf numFmtId="165" fontId="2" fillId="2" borderId="11" xfId="0" applyNumberFormat="1" applyFont="1" applyFill="1" applyBorder="1" applyAlignment="1">
      <alignment horizontal="center" vertical="center" wrapText="1"/>
    </xf>
    <xf numFmtId="39" fontId="3" fillId="0" borderId="13" xfId="5" applyNumberFormat="1" applyFont="1" applyFill="1" applyBorder="1" applyAlignment="1" applyProtection="1">
      <alignment horizontal="center" vertical="center"/>
    </xf>
    <xf numFmtId="10" fontId="3" fillId="0" borderId="13" xfId="1" applyNumberFormat="1" applyFont="1" applyFill="1" applyBorder="1" applyAlignment="1" applyProtection="1">
      <alignment horizontal="center" vertical="center"/>
    </xf>
    <xf numFmtId="10" fontId="3" fillId="0" borderId="25" xfId="0" applyNumberFormat="1" applyFont="1" applyBorder="1" applyAlignment="1">
      <alignment horizontal="center" vertical="center"/>
    </xf>
    <xf numFmtId="40" fontId="2" fillId="0" borderId="7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164" fontId="2" fillId="2" borderId="11" xfId="0" applyNumberFormat="1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3" fillId="0" borderId="51" xfId="0" applyFont="1" applyBorder="1" applyAlignment="1">
      <alignment horizontal="center" vertical="center"/>
    </xf>
    <xf numFmtId="164" fontId="3" fillId="0" borderId="38" xfId="0" applyNumberFormat="1" applyFont="1" applyBorder="1" applyAlignment="1">
      <alignment horizontal="center" vertical="center"/>
    </xf>
    <xf numFmtId="10" fontId="3" fillId="0" borderId="38" xfId="1" applyNumberFormat="1" applyFont="1" applyBorder="1" applyAlignment="1">
      <alignment horizontal="center" vertical="center"/>
    </xf>
    <xf numFmtId="9" fontId="3" fillId="0" borderId="38" xfId="1" applyFont="1" applyBorder="1" applyAlignment="1">
      <alignment horizontal="center" vertical="center"/>
    </xf>
    <xf numFmtId="164" fontId="2" fillId="0" borderId="52" xfId="0" applyNumberFormat="1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3" fillId="0" borderId="74" xfId="0" applyFont="1" applyBorder="1" applyAlignment="1">
      <alignment horizontal="center" vertical="center"/>
    </xf>
    <xf numFmtId="1" fontId="3" fillId="0" borderId="75" xfId="0" applyNumberFormat="1" applyFont="1" applyBorder="1" applyAlignment="1">
      <alignment horizontal="center" vertical="center"/>
    </xf>
    <xf numFmtId="1" fontId="3" fillId="0" borderId="58" xfId="0" applyNumberFormat="1" applyFont="1" applyBorder="1" applyAlignment="1">
      <alignment horizontal="center" vertical="center"/>
    </xf>
    <xf numFmtId="1" fontId="3" fillId="0" borderId="77" xfId="0" applyNumberFormat="1" applyFont="1" applyBorder="1" applyAlignment="1">
      <alignment horizontal="center" vertical="center"/>
    </xf>
    <xf numFmtId="0" fontId="3" fillId="0" borderId="78" xfId="0" applyFont="1" applyBorder="1" applyAlignment="1">
      <alignment horizontal="center" vertical="center"/>
    </xf>
    <xf numFmtId="10" fontId="2" fillId="0" borderId="29" xfId="0" applyNumberFormat="1" applyFont="1" applyBorder="1" applyAlignment="1">
      <alignment horizontal="center" vertical="center" wrapText="1"/>
    </xf>
    <xf numFmtId="10" fontId="3" fillId="0" borderId="29" xfId="0" applyNumberFormat="1" applyFont="1" applyBorder="1" applyAlignment="1">
      <alignment horizontal="center" vertical="center" wrapText="1"/>
    </xf>
    <xf numFmtId="0" fontId="34" fillId="39" borderId="1" xfId="48" applyFont="1" applyFill="1" applyBorder="1" applyAlignment="1">
      <alignment horizontal="center" vertical="center"/>
    </xf>
    <xf numFmtId="43" fontId="34" fillId="45" borderId="79" xfId="0" applyNumberFormat="1" applyFont="1" applyFill="1" applyBorder="1" applyAlignment="1">
      <alignment vertical="center"/>
    </xf>
    <xf numFmtId="0" fontId="34" fillId="39" borderId="1" xfId="48" applyFont="1" applyFill="1" applyBorder="1" applyAlignment="1">
      <alignment vertical="center"/>
    </xf>
    <xf numFmtId="1" fontId="1" fillId="39" borderId="4" xfId="48" applyNumberFormat="1" applyFont="1" applyFill="1" applyBorder="1" applyAlignment="1">
      <alignment horizontal="center" vertical="center"/>
    </xf>
    <xf numFmtId="3" fontId="3" fillId="0" borderId="14" xfId="3" applyNumberFormat="1" applyFont="1" applyFill="1" applyBorder="1" applyAlignment="1" applyProtection="1">
      <alignment horizontal="center" vertical="center"/>
    </xf>
    <xf numFmtId="4" fontId="27" fillId="0" borderId="9" xfId="0" applyNumberFormat="1" applyFont="1" applyBorder="1" applyAlignment="1">
      <alignment horizontal="center" vertical="center"/>
    </xf>
    <xf numFmtId="0" fontId="37" fillId="2" borderId="2" xfId="48" applyFont="1" applyFill="1" applyBorder="1" applyAlignment="1">
      <alignment horizontal="center" vertical="center" wrapText="1"/>
    </xf>
    <xf numFmtId="0" fontId="37" fillId="2" borderId="12" xfId="48" applyFont="1" applyFill="1" applyBorder="1" applyAlignment="1">
      <alignment horizontal="center" vertical="center" wrapText="1"/>
    </xf>
    <xf numFmtId="167" fontId="37" fillId="2" borderId="3" xfId="3" applyFont="1" applyFill="1" applyBorder="1" applyAlignment="1">
      <alignment horizontal="center" vertical="center" wrapText="1"/>
    </xf>
    <xf numFmtId="0" fontId="37" fillId="0" borderId="18" xfId="48" applyFont="1" applyBorder="1" applyAlignment="1">
      <alignment horizontal="center" vertical="center" wrapText="1"/>
    </xf>
    <xf numFmtId="0" fontId="37" fillId="0" borderId="32" xfId="48" applyFont="1" applyBorder="1" applyAlignment="1">
      <alignment horizontal="center" vertical="center" wrapText="1"/>
    </xf>
    <xf numFmtId="167" fontId="38" fillId="46" borderId="54" xfId="3" applyFont="1" applyFill="1" applyBorder="1" applyAlignment="1">
      <alignment vertical="center"/>
    </xf>
    <xf numFmtId="167" fontId="38" fillId="46" borderId="82" xfId="3" applyFont="1" applyFill="1" applyBorder="1" applyAlignment="1">
      <alignment vertical="center"/>
    </xf>
    <xf numFmtId="167" fontId="38" fillId="46" borderId="29" xfId="3" applyFont="1" applyFill="1" applyBorder="1" applyAlignment="1">
      <alignment vertical="center"/>
    </xf>
    <xf numFmtId="167" fontId="38" fillId="46" borderId="83" xfId="3" applyFont="1" applyFill="1" applyBorder="1" applyAlignment="1">
      <alignment vertical="center"/>
    </xf>
    <xf numFmtId="0" fontId="28" fillId="3" borderId="11" xfId="0" applyFont="1" applyFill="1" applyBorder="1" applyAlignment="1">
      <alignment horizontal="center" vertical="center" wrapText="1"/>
    </xf>
    <xf numFmtId="4" fontId="29" fillId="0" borderId="9" xfId="3" applyNumberFormat="1" applyFont="1" applyBorder="1" applyAlignment="1">
      <alignment horizontal="center" vertical="center"/>
    </xf>
    <xf numFmtId="4" fontId="29" fillId="0" borderId="5" xfId="3" applyNumberFormat="1" applyFont="1" applyBorder="1" applyAlignment="1">
      <alignment horizontal="center" vertical="center"/>
    </xf>
    <xf numFmtId="43" fontId="32" fillId="0" borderId="14" xfId="2" applyFont="1" applyBorder="1" applyAlignment="1" applyProtection="1">
      <alignment vertical="center" wrapText="1"/>
    </xf>
    <xf numFmtId="168" fontId="32" fillId="0" borderId="14" xfId="2" applyNumberFormat="1" applyFont="1" applyBorder="1" applyAlignment="1" applyProtection="1">
      <alignment horizontal="center" vertical="center"/>
    </xf>
    <xf numFmtId="43" fontId="32" fillId="0" borderId="14" xfId="2" applyFont="1" applyBorder="1" applyAlignment="1" applyProtection="1">
      <alignment vertical="center"/>
    </xf>
    <xf numFmtId="43" fontId="32" fillId="0" borderId="9" xfId="2" applyFont="1" applyBorder="1" applyAlignment="1" applyProtection="1">
      <alignment vertical="center"/>
    </xf>
    <xf numFmtId="43" fontId="31" fillId="0" borderId="10" xfId="2" applyFont="1" applyBorder="1" applyAlignment="1" applyProtection="1">
      <alignment horizontal="center" vertical="center" wrapText="1"/>
    </xf>
    <xf numFmtId="43" fontId="31" fillId="0" borderId="15" xfId="2" applyFont="1" applyBorder="1" applyAlignment="1" applyProtection="1">
      <alignment horizontal="center" vertical="center" wrapText="1"/>
    </xf>
    <xf numFmtId="43" fontId="32" fillId="0" borderId="25" xfId="2" applyFont="1" applyBorder="1" applyAlignment="1" applyProtection="1">
      <alignment vertical="center" wrapText="1"/>
    </xf>
    <xf numFmtId="168" fontId="32" fillId="0" borderId="25" xfId="2" applyNumberFormat="1" applyFont="1" applyBorder="1" applyAlignment="1" applyProtection="1">
      <alignment horizontal="center" vertical="center"/>
    </xf>
    <xf numFmtId="43" fontId="32" fillId="0" borderId="25" xfId="2" applyFont="1" applyBorder="1" applyAlignment="1" applyProtection="1">
      <alignment vertical="center"/>
    </xf>
    <xf numFmtId="43" fontId="32" fillId="0" borderId="26" xfId="2" applyFont="1" applyBorder="1" applyAlignment="1" applyProtection="1">
      <alignment vertical="center"/>
    </xf>
    <xf numFmtId="168" fontId="31" fillId="0" borderId="15" xfId="2" applyNumberFormat="1" applyFont="1" applyBorder="1" applyAlignment="1" applyProtection="1">
      <alignment horizontal="center" vertical="center"/>
    </xf>
    <xf numFmtId="43" fontId="31" fillId="0" borderId="15" xfId="2" applyFont="1" applyBorder="1" applyAlignment="1" applyProtection="1">
      <alignment vertical="center"/>
    </xf>
    <xf numFmtId="43" fontId="31" fillId="0" borderId="11" xfId="2" applyFont="1" applyBorder="1" applyAlignment="1" applyProtection="1">
      <alignment vertical="center"/>
    </xf>
    <xf numFmtId="43" fontId="31" fillId="2" borderId="10" xfId="2" applyFont="1" applyFill="1" applyBorder="1" applyAlignment="1" applyProtection="1">
      <alignment horizontal="center" vertical="center" wrapText="1"/>
    </xf>
    <xf numFmtId="43" fontId="31" fillId="2" borderId="15" xfId="2" applyFont="1" applyFill="1" applyBorder="1" applyAlignment="1" applyProtection="1">
      <alignment horizontal="center" vertical="center" wrapText="1"/>
    </xf>
    <xf numFmtId="43" fontId="31" fillId="2" borderId="11" xfId="2" applyFont="1" applyFill="1" applyBorder="1" applyAlignment="1" applyProtection="1">
      <alignment horizontal="center" vertical="center" wrapText="1"/>
    </xf>
    <xf numFmtId="1" fontId="32" fillId="0" borderId="24" xfId="2" applyNumberFormat="1" applyFont="1" applyBorder="1" applyAlignment="1" applyProtection="1">
      <alignment horizontal="center" vertical="center" wrapText="1"/>
    </xf>
    <xf numFmtId="0" fontId="40" fillId="0" borderId="32" xfId="0" applyFont="1" applyBorder="1" applyAlignment="1">
      <alignment horizontal="center"/>
    </xf>
    <xf numFmtId="168" fontId="40" fillId="0" borderId="32" xfId="0" applyNumberFormat="1" applyFont="1" applyBorder="1" applyAlignment="1">
      <alignment horizontal="center"/>
    </xf>
    <xf numFmtId="0" fontId="40" fillId="0" borderId="33" xfId="0" applyFont="1" applyBorder="1" applyAlignment="1">
      <alignment horizontal="center"/>
    </xf>
    <xf numFmtId="168" fontId="40" fillId="0" borderId="33" xfId="0" applyNumberFormat="1" applyFont="1" applyBorder="1" applyAlignment="1">
      <alignment horizontal="center"/>
    </xf>
    <xf numFmtId="43" fontId="34" fillId="0" borderId="79" xfId="0" applyNumberFormat="1" applyFont="1" applyBorder="1" applyAlignment="1">
      <alignment vertical="center"/>
    </xf>
    <xf numFmtId="43" fontId="34" fillId="47" borderId="79" xfId="0" applyNumberFormat="1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164" fontId="6" fillId="0" borderId="15" xfId="0" applyNumberFormat="1" applyFont="1" applyBorder="1" applyAlignment="1">
      <alignment horizontal="center" vertical="center"/>
    </xf>
    <xf numFmtId="164" fontId="6" fillId="0" borderId="11" xfId="0" applyNumberFormat="1" applyFont="1" applyBorder="1" applyAlignment="1">
      <alignment horizontal="center" vertical="center"/>
    </xf>
    <xf numFmtId="0" fontId="41" fillId="2" borderId="31" xfId="0" applyFont="1" applyFill="1" applyBorder="1" applyAlignment="1">
      <alignment horizontal="center"/>
    </xf>
    <xf numFmtId="1" fontId="1" fillId="39" borderId="24" xfId="48" applyNumberFormat="1" applyFont="1" applyFill="1" applyBorder="1" applyAlignment="1">
      <alignment horizontal="center" vertical="center"/>
    </xf>
    <xf numFmtId="0" fontId="34" fillId="39" borderId="25" xfId="48" applyFont="1" applyFill="1" applyBorder="1" applyAlignment="1">
      <alignment vertical="center"/>
    </xf>
    <xf numFmtId="0" fontId="34" fillId="39" borderId="25" xfId="48" applyFont="1" applyFill="1" applyBorder="1" applyAlignment="1">
      <alignment horizontal="center" vertical="center"/>
    </xf>
    <xf numFmtId="43" fontId="34" fillId="45" borderId="86" xfId="0" applyNumberFormat="1" applyFont="1" applyFill="1" applyBorder="1" applyAlignment="1">
      <alignment vertical="center"/>
    </xf>
    <xf numFmtId="0" fontId="36" fillId="2" borderId="10" xfId="48" applyFont="1" applyFill="1" applyBorder="1" applyAlignment="1">
      <alignment vertical="center"/>
    </xf>
    <xf numFmtId="0" fontId="36" fillId="2" borderId="15" xfId="48" applyFont="1" applyFill="1" applyBorder="1" applyAlignment="1">
      <alignment vertical="center"/>
    </xf>
    <xf numFmtId="0" fontId="36" fillId="2" borderId="15" xfId="48" applyFont="1" applyFill="1" applyBorder="1" applyAlignment="1">
      <alignment horizontal="center" vertical="center"/>
    </xf>
    <xf numFmtId="167" fontId="36" fillId="2" borderId="11" xfId="3" applyFont="1" applyFill="1" applyBorder="1" applyAlignment="1">
      <alignment vertical="center"/>
    </xf>
    <xf numFmtId="167" fontId="36" fillId="2" borderId="31" xfId="3" applyFont="1" applyFill="1" applyBorder="1" applyAlignment="1">
      <alignment vertical="center"/>
    </xf>
    <xf numFmtId="43" fontId="34" fillId="0" borderId="86" xfId="0" applyNumberFormat="1" applyFont="1" applyBorder="1" applyAlignment="1">
      <alignment vertical="center"/>
    </xf>
    <xf numFmtId="167" fontId="34" fillId="0" borderId="24" xfId="3" applyFont="1" applyFill="1" applyBorder="1" applyAlignment="1">
      <alignment vertical="center"/>
    </xf>
    <xf numFmtId="167" fontId="34" fillId="0" borderId="81" xfId="3" applyFont="1" applyFill="1" applyBorder="1" applyAlignment="1">
      <alignment vertical="center"/>
    </xf>
    <xf numFmtId="167" fontId="36" fillId="2" borderId="10" xfId="3" applyFont="1" applyFill="1" applyBorder="1" applyAlignment="1">
      <alignment vertical="center"/>
    </xf>
    <xf numFmtId="0" fontId="2" fillId="43" borderId="69" xfId="0" applyFont="1" applyFill="1" applyBorder="1" applyAlignment="1">
      <alignment horizontal="center" vertical="center" wrapText="1"/>
    </xf>
    <xf numFmtId="4" fontId="3" fillId="0" borderId="12" xfId="3" applyNumberFormat="1" applyFont="1" applyFill="1" applyBorder="1" applyAlignment="1" applyProtection="1">
      <alignment horizontal="center" vertical="center"/>
    </xf>
    <xf numFmtId="4" fontId="4" fillId="0" borderId="3" xfId="3" applyNumberFormat="1" applyFont="1" applyFill="1" applyBorder="1" applyAlignment="1" applyProtection="1">
      <alignment horizontal="center" vertical="center"/>
    </xf>
    <xf numFmtId="4" fontId="3" fillId="0" borderId="13" xfId="3" applyNumberFormat="1" applyFont="1" applyFill="1" applyBorder="1" applyAlignment="1" applyProtection="1">
      <alignment horizontal="center" vertical="center"/>
    </xf>
    <xf numFmtId="4" fontId="4" fillId="0" borderId="7" xfId="3" applyNumberFormat="1" applyFont="1" applyFill="1" applyBorder="1" applyAlignment="1" applyProtection="1">
      <alignment horizontal="center" vertical="center"/>
    </xf>
    <xf numFmtId="4" fontId="3" fillId="0" borderId="14" xfId="3" applyNumberFormat="1" applyFont="1" applyFill="1" applyBorder="1" applyAlignment="1" applyProtection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3" fillId="0" borderId="85" xfId="0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center" vertical="center"/>
    </xf>
    <xf numFmtId="4" fontId="27" fillId="0" borderId="5" xfId="0" applyNumberFormat="1" applyFont="1" applyBorder="1" applyAlignment="1">
      <alignment horizontal="center" vertical="center"/>
    </xf>
    <xf numFmtId="4" fontId="27" fillId="0" borderId="7" xfId="0" applyNumberFormat="1" applyFont="1" applyBorder="1" applyAlignment="1">
      <alignment horizontal="center" vertical="center"/>
    </xf>
    <xf numFmtId="0" fontId="2" fillId="2" borderId="31" xfId="0" applyFont="1" applyFill="1" applyBorder="1" applyAlignment="1">
      <alignment vertical="center"/>
    </xf>
    <xf numFmtId="164" fontId="3" fillId="0" borderId="26" xfId="0" applyNumberFormat="1" applyFont="1" applyBorder="1" applyAlignment="1">
      <alignment horizontal="center" vertical="center"/>
    </xf>
    <xf numFmtId="166" fontId="2" fillId="0" borderId="3" xfId="2" applyNumberFormat="1" applyFont="1" applyFill="1" applyBorder="1" applyAlignment="1">
      <alignment horizontal="center" vertical="center" wrapText="1"/>
    </xf>
    <xf numFmtId="166" fontId="2" fillId="0" borderId="5" xfId="2" applyNumberFormat="1" applyFont="1" applyFill="1" applyBorder="1" applyAlignment="1">
      <alignment horizontal="center" vertical="center" wrapText="1"/>
    </xf>
    <xf numFmtId="166" fontId="2" fillId="0" borderId="7" xfId="2" applyNumberFormat="1" applyFont="1" applyFill="1" applyBorder="1" applyAlignment="1">
      <alignment horizontal="center" vertical="center" wrapText="1"/>
    </xf>
    <xf numFmtId="10" fontId="27" fillId="0" borderId="5" xfId="1" applyNumberFormat="1" applyFont="1" applyFill="1" applyBorder="1" applyAlignment="1">
      <alignment horizontal="center" vertical="center"/>
    </xf>
    <xf numFmtId="10" fontId="27" fillId="0" borderId="7" xfId="1" applyNumberFormat="1" applyFont="1" applyFill="1" applyBorder="1" applyAlignment="1">
      <alignment horizontal="center" vertical="center"/>
    </xf>
    <xf numFmtId="164" fontId="2" fillId="48" borderId="11" xfId="0" applyNumberFormat="1" applyFont="1" applyFill="1" applyBorder="1" applyAlignment="1">
      <alignment horizontal="center" vertical="center"/>
    </xf>
    <xf numFmtId="164" fontId="2" fillId="48" borderId="17" xfId="0" applyNumberFormat="1" applyFont="1" applyFill="1" applyBorder="1" applyAlignment="1">
      <alignment horizontal="center" vertical="center"/>
    </xf>
    <xf numFmtId="164" fontId="3" fillId="0" borderId="76" xfId="0" applyNumberFormat="1" applyFont="1" applyFill="1" applyBorder="1" applyAlignment="1">
      <alignment horizontal="center" vertical="center"/>
    </xf>
    <xf numFmtId="164" fontId="3" fillId="0" borderId="33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center" vertical="center"/>
    </xf>
    <xf numFmtId="164" fontId="3" fillId="0" borderId="7" xfId="0" applyNumberFormat="1" applyFont="1" applyFill="1" applyBorder="1" applyAlignment="1">
      <alignment horizontal="center" vertical="center"/>
    </xf>
    <xf numFmtId="164" fontId="42" fillId="2" borderId="27" xfId="0" applyNumberFormat="1" applyFont="1" applyFill="1" applyBorder="1" applyAlignment="1">
      <alignment horizontal="center" vertical="center"/>
    </xf>
    <xf numFmtId="164" fontId="42" fillId="2" borderId="29" xfId="0" applyNumberFormat="1" applyFont="1" applyFill="1" applyBorder="1" applyAlignment="1">
      <alignment horizontal="center" vertical="center"/>
    </xf>
    <xf numFmtId="0" fontId="31" fillId="0" borderId="0" xfId="0" applyFont="1" applyAlignment="1">
      <alignment horizontal="center"/>
    </xf>
    <xf numFmtId="0" fontId="39" fillId="0" borderId="0" xfId="0" applyFont="1" applyAlignment="1">
      <alignment horizontal="center"/>
    </xf>
    <xf numFmtId="0" fontId="31" fillId="2" borderId="27" xfId="0" applyFont="1" applyFill="1" applyBorder="1" applyAlignment="1">
      <alignment horizontal="center"/>
    </xf>
    <xf numFmtId="0" fontId="31" fillId="2" borderId="28" xfId="0" applyFont="1" applyFill="1" applyBorder="1" applyAlignment="1">
      <alignment horizontal="center"/>
    </xf>
    <xf numFmtId="0" fontId="31" fillId="2" borderId="29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41" borderId="0" xfId="0" applyFont="1" applyFill="1" applyAlignment="1">
      <alignment horizontal="center" vertical="center"/>
    </xf>
    <xf numFmtId="0" fontId="24" fillId="0" borderId="0" xfId="0" applyFont="1" applyAlignment="1">
      <alignment horizontal="left" vertical="center" wrapText="1"/>
    </xf>
    <xf numFmtId="0" fontId="2" fillId="2" borderId="10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5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39" xfId="0" applyFont="1" applyFill="1" applyBorder="1" applyAlignment="1">
      <alignment horizontal="center" vertical="center" wrapText="1"/>
    </xf>
    <xf numFmtId="0" fontId="2" fillId="2" borderId="51" xfId="0" applyFont="1" applyFill="1" applyBorder="1" applyAlignment="1">
      <alignment horizontal="center" vertical="center" wrapText="1"/>
    </xf>
    <xf numFmtId="0" fontId="2" fillId="43" borderId="27" xfId="0" applyFont="1" applyFill="1" applyBorder="1" applyAlignment="1">
      <alignment horizontal="center" vertical="center"/>
    </xf>
    <xf numFmtId="0" fontId="35" fillId="0" borderId="28" xfId="0" applyFont="1" applyBorder="1"/>
    <xf numFmtId="0" fontId="35" fillId="0" borderId="29" xfId="0" applyFont="1" applyBorder="1"/>
    <xf numFmtId="0" fontId="2" fillId="2" borderId="32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43" borderId="61" xfId="0" applyFont="1" applyFill="1" applyBorder="1" applyAlignment="1">
      <alignment horizontal="center" vertical="center" wrapText="1"/>
    </xf>
    <xf numFmtId="0" fontId="35" fillId="0" borderId="62" xfId="0" applyFont="1" applyBorder="1" applyAlignment="1">
      <alignment wrapText="1"/>
    </xf>
    <xf numFmtId="0" fontId="35" fillId="0" borderId="66" xfId="0" applyFont="1" applyBorder="1" applyAlignment="1">
      <alignment wrapText="1"/>
    </xf>
    <xf numFmtId="0" fontId="4" fillId="2" borderId="53" xfId="0" applyFont="1" applyFill="1" applyBorder="1" applyAlignment="1">
      <alignment horizontal="center" vertical="center" wrapText="1"/>
    </xf>
    <xf numFmtId="0" fontId="4" fillId="2" borderId="54" xfId="0" applyFont="1" applyFill="1" applyBorder="1" applyAlignment="1">
      <alignment horizontal="center" vertical="center" wrapText="1"/>
    </xf>
    <xf numFmtId="0" fontId="30" fillId="41" borderId="0" xfId="0" applyFont="1" applyFill="1" applyAlignment="1">
      <alignment horizontal="center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4" fillId="0" borderId="38" xfId="0" applyFont="1" applyBorder="1" applyAlignment="1">
      <alignment horizontal="left" vertical="center" wrapText="1"/>
    </xf>
    <xf numFmtId="0" fontId="2" fillId="43" borderId="61" xfId="0" applyFont="1" applyFill="1" applyBorder="1" applyAlignment="1">
      <alignment horizontal="center" vertical="center"/>
    </xf>
    <xf numFmtId="0" fontId="35" fillId="0" borderId="62" xfId="0" applyFont="1" applyBorder="1"/>
    <xf numFmtId="0" fontId="35" fillId="0" borderId="66" xfId="0" applyFont="1" applyBorder="1"/>
    <xf numFmtId="0" fontId="2" fillId="2" borderId="0" xfId="0" applyFont="1" applyFill="1" applyAlignment="1">
      <alignment horizontal="center" vertical="center"/>
    </xf>
    <xf numFmtId="0" fontId="2" fillId="2" borderId="18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28" fillId="3" borderId="27" xfId="0" applyFont="1" applyFill="1" applyBorder="1" applyAlignment="1">
      <alignment horizontal="center" vertical="center"/>
    </xf>
    <xf numFmtId="0" fontId="28" fillId="3" borderId="28" xfId="0" applyFont="1" applyFill="1" applyBorder="1" applyAlignment="1">
      <alignment horizontal="center" vertical="center"/>
    </xf>
    <xf numFmtId="0" fontId="28" fillId="3" borderId="29" xfId="0" applyFont="1" applyFill="1" applyBorder="1" applyAlignment="1">
      <alignment horizontal="center" vertical="center"/>
    </xf>
    <xf numFmtId="0" fontId="4" fillId="3" borderId="55" xfId="0" applyFont="1" applyFill="1" applyBorder="1" applyAlignment="1">
      <alignment horizontal="center" vertical="center"/>
    </xf>
    <xf numFmtId="0" fontId="4" fillId="3" borderId="56" xfId="0" applyFont="1" applyFill="1" applyBorder="1" applyAlignment="1">
      <alignment horizontal="center" vertical="center"/>
    </xf>
    <xf numFmtId="0" fontId="4" fillId="3" borderId="57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5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24" fillId="0" borderId="0" xfId="0" applyFont="1" applyAlignment="1">
      <alignment horizontal="center"/>
    </xf>
    <xf numFmtId="0" fontId="2" fillId="39" borderId="0" xfId="0" applyFont="1" applyFill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39" borderId="0" xfId="0" applyFont="1" applyFill="1" applyAlignment="1">
      <alignment horizontal="center" vertical="center" wrapText="1"/>
    </xf>
    <xf numFmtId="0" fontId="33" fillId="0" borderId="27" xfId="0" applyFont="1" applyBorder="1" applyAlignment="1">
      <alignment horizontal="left" vertical="justify"/>
    </xf>
    <xf numFmtId="0" fontId="33" fillId="0" borderId="28" xfId="0" applyFont="1" applyBorder="1" applyAlignment="1">
      <alignment horizontal="left" vertical="justify"/>
    </xf>
    <xf numFmtId="0" fontId="33" fillId="0" borderId="29" xfId="0" applyFont="1" applyBorder="1" applyAlignment="1">
      <alignment horizontal="left" vertical="justify"/>
    </xf>
    <xf numFmtId="0" fontId="2" fillId="0" borderId="51" xfId="0" applyFont="1" applyBorder="1" applyAlignment="1">
      <alignment horizontal="center" vertical="center" wrapText="1"/>
    </xf>
    <xf numFmtId="0" fontId="2" fillId="0" borderId="52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33" fillId="42" borderId="27" xfId="0" applyFont="1" applyFill="1" applyBorder="1" applyAlignment="1">
      <alignment horizontal="center" vertical="justify"/>
    </xf>
    <xf numFmtId="0" fontId="33" fillId="42" borderId="28" xfId="0" applyFont="1" applyFill="1" applyBorder="1" applyAlignment="1">
      <alignment horizontal="center" vertical="justify"/>
    </xf>
    <xf numFmtId="0" fontId="33" fillId="42" borderId="29" xfId="0" applyFont="1" applyFill="1" applyBorder="1" applyAlignment="1">
      <alignment horizontal="center" vertical="justify"/>
    </xf>
    <xf numFmtId="0" fontId="33" fillId="0" borderId="27" xfId="0" applyFont="1" applyBorder="1" applyAlignment="1">
      <alignment horizontal="center" vertical="justify"/>
    </xf>
    <xf numFmtId="0" fontId="33" fillId="0" borderId="28" xfId="0" applyFont="1" applyBorder="1" applyAlignment="1">
      <alignment horizontal="center" vertical="justify"/>
    </xf>
    <xf numFmtId="0" fontId="33" fillId="0" borderId="29" xfId="0" applyFont="1" applyBorder="1" applyAlignment="1">
      <alignment horizontal="center" vertical="justify"/>
    </xf>
    <xf numFmtId="0" fontId="36" fillId="2" borderId="39" xfId="48" applyFont="1" applyFill="1" applyBorder="1" applyAlignment="1">
      <alignment horizontal="center" vertical="center"/>
    </xf>
    <xf numFmtId="0" fontId="36" fillId="2" borderId="37" xfId="48" applyFont="1" applyFill="1" applyBorder="1" applyAlignment="1">
      <alignment horizontal="center" vertical="center"/>
    </xf>
    <xf numFmtId="0" fontId="36" fillId="2" borderId="74" xfId="48" applyFont="1" applyFill="1" applyBorder="1" applyAlignment="1">
      <alignment horizontal="center" vertical="center"/>
    </xf>
    <xf numFmtId="0" fontId="36" fillId="2" borderId="80" xfId="48" applyFont="1" applyFill="1" applyBorder="1" applyAlignment="1">
      <alignment horizontal="center" vertical="center"/>
    </xf>
    <xf numFmtId="0" fontId="36" fillId="44" borderId="27" xfId="48" applyFont="1" applyFill="1" applyBorder="1" applyAlignment="1">
      <alignment horizontal="center" vertical="center"/>
    </xf>
    <xf numFmtId="0" fontId="36" fillId="44" borderId="28" xfId="48" applyFont="1" applyFill="1" applyBorder="1" applyAlignment="1">
      <alignment horizontal="center" vertical="center"/>
    </xf>
    <xf numFmtId="0" fontId="36" fillId="44" borderId="29" xfId="48" applyFont="1" applyFill="1" applyBorder="1" applyAlignment="1">
      <alignment horizontal="center" vertical="center"/>
    </xf>
    <xf numFmtId="0" fontId="36" fillId="2" borderId="2" xfId="48" applyFont="1" applyFill="1" applyBorder="1" applyAlignment="1">
      <alignment horizontal="center" vertical="center"/>
    </xf>
    <xf numFmtId="0" fontId="36" fillId="2" borderId="12" xfId="48" applyFont="1" applyFill="1" applyBorder="1" applyAlignment="1">
      <alignment horizontal="center" vertical="center"/>
    </xf>
    <xf numFmtId="0" fontId="36" fillId="2" borderId="6" xfId="48" applyFont="1" applyFill="1" applyBorder="1" applyAlignment="1">
      <alignment horizontal="center" vertical="center"/>
    </xf>
    <xf numFmtId="0" fontId="36" fillId="2" borderId="13" xfId="48" applyFont="1" applyFill="1" applyBorder="1" applyAlignment="1">
      <alignment horizontal="center" vertical="center"/>
    </xf>
    <xf numFmtId="0" fontId="36" fillId="2" borderId="50" xfId="48" applyFont="1" applyFill="1" applyBorder="1" applyAlignment="1">
      <alignment horizontal="center" vertical="center"/>
    </xf>
    <xf numFmtId="0" fontId="36" fillId="2" borderId="0" xfId="48" applyFont="1" applyFill="1" applyAlignment="1">
      <alignment horizontal="center" vertical="center"/>
    </xf>
    <xf numFmtId="0" fontId="36" fillId="2" borderId="53" xfId="48" applyFont="1" applyFill="1" applyBorder="1" applyAlignment="1">
      <alignment horizontal="center" vertical="center"/>
    </xf>
    <xf numFmtId="0" fontId="36" fillId="2" borderId="84" xfId="48" applyFont="1" applyFill="1" applyBorder="1" applyAlignment="1">
      <alignment horizontal="center" vertical="center"/>
    </xf>
  </cellXfs>
  <cellStyles count="54">
    <cellStyle name="20% - Ênfase1" xfId="24" builtinId="30" customBuiltin="1"/>
    <cellStyle name="20% - Ênfase2" xfId="28" builtinId="34" customBuiltin="1"/>
    <cellStyle name="20% - Ênfase3" xfId="32" builtinId="38" customBuiltin="1"/>
    <cellStyle name="20% - Ênfase4" xfId="36" builtinId="42" customBuiltin="1"/>
    <cellStyle name="20% - Ênfase5" xfId="40" builtinId="46" customBuiltin="1"/>
    <cellStyle name="20% - Ênfase6" xfId="44" builtinId="50" customBuiltin="1"/>
    <cellStyle name="40% - Ênfase1" xfId="25" builtinId="31" customBuiltin="1"/>
    <cellStyle name="40% - Ênfase2" xfId="29" builtinId="35" customBuiltin="1"/>
    <cellStyle name="40% - Ênfase3" xfId="33" builtinId="39" customBuiltin="1"/>
    <cellStyle name="40% - Ênfase4" xfId="37" builtinId="43" customBuiltin="1"/>
    <cellStyle name="40% - Ênfase5" xfId="41" builtinId="47" customBuiltin="1"/>
    <cellStyle name="40% - Ênfase6" xfId="45" builtinId="51" customBuiltin="1"/>
    <cellStyle name="60% - Ênfase1" xfId="26" builtinId="32" customBuiltin="1"/>
    <cellStyle name="60% - Ênfase2" xfId="30" builtinId="36" customBuiltin="1"/>
    <cellStyle name="60% - Ênfase3" xfId="34" builtinId="40" customBuiltin="1"/>
    <cellStyle name="60% - Ênfase4" xfId="38" builtinId="44" customBuiltin="1"/>
    <cellStyle name="60% - Ênfase5" xfId="42" builtinId="48" customBuiltin="1"/>
    <cellStyle name="60% - Ênfase6" xfId="46" builtinId="52" customBuiltin="1"/>
    <cellStyle name="Bom" xfId="11" builtinId="26" customBuiltin="1"/>
    <cellStyle name="Cálculo" xfId="16" builtinId="22" customBuiltin="1"/>
    <cellStyle name="Célula de Verificação" xfId="18" builtinId="23" customBuiltin="1"/>
    <cellStyle name="Célula Vinculada" xfId="17" builtinId="24" customBuiltin="1"/>
    <cellStyle name="Ênfase1" xfId="23" builtinId="29" customBuiltin="1"/>
    <cellStyle name="Ênfase2" xfId="27" builtinId="33" customBuiltin="1"/>
    <cellStyle name="Ênfase3" xfId="31" builtinId="37" customBuiltin="1"/>
    <cellStyle name="Ênfase4" xfId="35" builtinId="41" customBuiltin="1"/>
    <cellStyle name="Ênfase5" xfId="39" builtinId="45" customBuiltin="1"/>
    <cellStyle name="Ênfase6" xfId="43" builtinId="49" customBuiltin="1"/>
    <cellStyle name="Entrada" xfId="14" builtinId="20" customBuiltin="1"/>
    <cellStyle name="Neutro" xfId="13" builtinId="28" customBuiltin="1"/>
    <cellStyle name="Normal" xfId="0" builtinId="0"/>
    <cellStyle name="Normal 2" xfId="48" xr:uid="{00000000-0005-0000-0000-000020000000}"/>
    <cellStyle name="Normal 3" xfId="53" xr:uid="{00000000-0005-0000-0000-000021000000}"/>
    <cellStyle name="Nota" xfId="20" builtinId="10" customBuiltin="1"/>
    <cellStyle name="Porcentagem" xfId="1" builtinId="5"/>
    <cellStyle name="Ruim" xfId="12" builtinId="27" customBuiltin="1"/>
    <cellStyle name="Saída" xfId="15" builtinId="21" customBuiltin="1"/>
    <cellStyle name="Texto de Aviso" xfId="19" builtinId="11" customBuiltin="1"/>
    <cellStyle name="Texto Explicativo" xfId="21" builtinId="53" customBuiltin="1"/>
    <cellStyle name="Título" xfId="6" builtinId="15" customBuiltin="1"/>
    <cellStyle name="Título 1" xfId="7" builtinId="16" customBuiltin="1"/>
    <cellStyle name="Título 2" xfId="8" builtinId="17" customBuiltin="1"/>
    <cellStyle name="Título 3" xfId="9" builtinId="18" customBuiltin="1"/>
    <cellStyle name="Título 4" xfId="10" builtinId="19" customBuiltin="1"/>
    <cellStyle name="Total" xfId="22" builtinId="25" customBuiltin="1"/>
    <cellStyle name="Vírgula" xfId="2" builtinId="3"/>
    <cellStyle name="Vírgula 2" xfId="3" xr:uid="{00000000-0005-0000-0000-00002E000000}"/>
    <cellStyle name="Vírgula 3" xfId="5" xr:uid="{00000000-0005-0000-0000-00002F000000}"/>
    <cellStyle name="Vírgula 3 2" xfId="51" xr:uid="{00000000-0005-0000-0000-000030000000}"/>
    <cellStyle name="Vírgula 4" xfId="4" xr:uid="{00000000-0005-0000-0000-000031000000}"/>
    <cellStyle name="Vírgula 4 2" xfId="50" xr:uid="{00000000-0005-0000-0000-000032000000}"/>
    <cellStyle name="Vírgula 5" xfId="47" xr:uid="{00000000-0005-0000-0000-000033000000}"/>
    <cellStyle name="Vírgula 5 2" xfId="52" xr:uid="{00000000-0005-0000-0000-000034000000}"/>
    <cellStyle name="Vírgula 6" xfId="49" xr:uid="{00000000-0005-0000-0000-00003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59999389629810485"/>
  </sheetPr>
  <dimension ref="A1:H17"/>
  <sheetViews>
    <sheetView tabSelected="1" workbookViewId="0">
      <selection sqref="A1:H1"/>
    </sheetView>
  </sheetViews>
  <sheetFormatPr defaultRowHeight="15" x14ac:dyDescent="0.25"/>
  <cols>
    <col min="1" max="1" width="8.140625" customWidth="1"/>
    <col min="2" max="2" width="72.85546875" customWidth="1"/>
    <col min="3" max="3" width="16.5703125" customWidth="1"/>
    <col min="4" max="4" width="17.28515625" customWidth="1"/>
    <col min="5" max="5" width="14.85546875" customWidth="1"/>
    <col min="6" max="6" width="14.28515625" customWidth="1"/>
    <col min="7" max="7" width="16.28515625" customWidth="1"/>
    <col min="8" max="8" width="16.7109375" customWidth="1"/>
  </cols>
  <sheetData>
    <row r="1" spans="1:8" ht="22.5" customHeight="1" x14ac:dyDescent="0.35">
      <c r="A1" s="374" t="s">
        <v>367</v>
      </c>
      <c r="B1" s="374"/>
      <c r="C1" s="374"/>
      <c r="D1" s="374"/>
      <c r="E1" s="374"/>
      <c r="F1" s="374"/>
      <c r="G1" s="374"/>
      <c r="H1" s="374"/>
    </row>
    <row r="2" spans="1:8" ht="22.5" customHeight="1" x14ac:dyDescent="0.3">
      <c r="A2" s="341" t="s">
        <v>323</v>
      </c>
      <c r="B2" s="341"/>
      <c r="C2" s="341"/>
      <c r="D2" s="341"/>
      <c r="E2" s="341"/>
      <c r="F2" s="341"/>
      <c r="G2" s="341"/>
      <c r="H2" s="341"/>
    </row>
    <row r="3" spans="1:8" ht="16.5" thickBot="1" x14ac:dyDescent="0.3">
      <c r="A3" s="340"/>
      <c r="B3" s="340"/>
    </row>
    <row r="4" spans="1:8" ht="16.5" thickBot="1" x14ac:dyDescent="0.3">
      <c r="A4" s="342" t="s">
        <v>364</v>
      </c>
      <c r="B4" s="343"/>
      <c r="C4" s="343"/>
      <c r="D4" s="343"/>
      <c r="E4" s="343"/>
      <c r="F4" s="343"/>
      <c r="G4" s="343"/>
      <c r="H4" s="344"/>
    </row>
    <row r="5" spans="1:8" ht="48" thickBot="1" x14ac:dyDescent="0.3">
      <c r="A5" s="286" t="s">
        <v>144</v>
      </c>
      <c r="B5" s="287" t="s">
        <v>229</v>
      </c>
      <c r="C5" s="287" t="s">
        <v>317</v>
      </c>
      <c r="D5" s="287" t="s">
        <v>318</v>
      </c>
      <c r="E5" s="287" t="s">
        <v>319</v>
      </c>
      <c r="F5" s="287" t="s">
        <v>320</v>
      </c>
      <c r="G5" s="287" t="s">
        <v>322</v>
      </c>
      <c r="H5" s="288" t="s">
        <v>321</v>
      </c>
    </row>
    <row r="6" spans="1:8" ht="31.5" x14ac:dyDescent="0.25">
      <c r="A6" s="289">
        <v>1</v>
      </c>
      <c r="B6" s="273" t="s">
        <v>326</v>
      </c>
      <c r="C6" s="274">
        <v>3</v>
      </c>
      <c r="D6" s="274">
        <f>C6*2</f>
        <v>6</v>
      </c>
      <c r="E6" s="275">
        <f>'Custo por trabalhador'!B557</f>
        <v>6838.67</v>
      </c>
      <c r="F6" s="275">
        <f>'Custo por trabalhador'!B558</f>
        <v>13677.34</v>
      </c>
      <c r="G6" s="275">
        <f>F6*C6</f>
        <v>41032.020000000004</v>
      </c>
      <c r="H6" s="276">
        <f>G6*12</f>
        <v>492384.24000000005</v>
      </c>
    </row>
    <row r="7" spans="1:8" ht="31.5" x14ac:dyDescent="0.25">
      <c r="A7" s="289">
        <v>2</v>
      </c>
      <c r="B7" s="279" t="s">
        <v>327</v>
      </c>
      <c r="C7" s="280">
        <v>3</v>
      </c>
      <c r="D7" s="280">
        <f t="shared" ref="D7:D8" si="0">C7*2</f>
        <v>6</v>
      </c>
      <c r="E7" s="281">
        <f>'Custo por trabalhador'!C557</f>
        <v>7762.39</v>
      </c>
      <c r="F7" s="281">
        <f>'Custo por trabalhador'!C558</f>
        <v>15524.78</v>
      </c>
      <c r="G7" s="281">
        <f t="shared" ref="G7:G8" si="1">F7*C7</f>
        <v>46574.340000000004</v>
      </c>
      <c r="H7" s="282">
        <f t="shared" ref="H7:H8" si="2">G7*12</f>
        <v>558892.08000000007</v>
      </c>
    </row>
    <row r="8" spans="1:8" ht="33" customHeight="1" x14ac:dyDescent="0.25">
      <c r="A8" s="289">
        <v>3</v>
      </c>
      <c r="B8" s="279" t="s">
        <v>328</v>
      </c>
      <c r="C8" s="280">
        <v>1</v>
      </c>
      <c r="D8" s="280">
        <f t="shared" si="0"/>
        <v>2</v>
      </c>
      <c r="E8" s="281">
        <f>'Custo por trabalhador'!D557</f>
        <v>7456.59</v>
      </c>
      <c r="F8" s="281">
        <f>'Custo por trabalhador'!D558</f>
        <v>14913.18</v>
      </c>
      <c r="G8" s="281">
        <f t="shared" si="1"/>
        <v>14913.18</v>
      </c>
      <c r="H8" s="282">
        <f t="shared" si="2"/>
        <v>178958.16</v>
      </c>
    </row>
    <row r="9" spans="1:8" ht="33.6" customHeight="1" thickBot="1" x14ac:dyDescent="0.3">
      <c r="A9" s="289">
        <v>4</v>
      </c>
      <c r="B9" s="279" t="s">
        <v>329</v>
      </c>
      <c r="C9" s="280">
        <v>1</v>
      </c>
      <c r="D9" s="280">
        <f>C9*2</f>
        <v>2</v>
      </c>
      <c r="E9" s="281">
        <f>'Custo por trabalhador'!E557</f>
        <v>8324.26</v>
      </c>
      <c r="F9" s="281">
        <f>'Custo por trabalhador'!E558</f>
        <v>16648.52</v>
      </c>
      <c r="G9" s="281">
        <f>F9*C9</f>
        <v>16648.52</v>
      </c>
      <c r="H9" s="282">
        <f>G9*12</f>
        <v>199782.24</v>
      </c>
    </row>
    <row r="10" spans="1:8" ht="16.5" thickBot="1" x14ac:dyDescent="0.3">
      <c r="A10" s="277"/>
      <c r="B10" s="278" t="s">
        <v>28</v>
      </c>
      <c r="C10" s="283">
        <f>SUM(C6:C9)</f>
        <v>8</v>
      </c>
      <c r="D10" s="283">
        <f t="shared" ref="D10" si="3">SUM(D6:D9)</f>
        <v>16</v>
      </c>
      <c r="E10" s="284">
        <f t="shared" ref="E10" si="4">SUM(E6:E9)</f>
        <v>30381.910000000003</v>
      </c>
      <c r="F10" s="284">
        <f t="shared" ref="F10" si="5">SUM(F6:F9)</f>
        <v>60763.820000000007</v>
      </c>
      <c r="G10" s="284">
        <f t="shared" ref="G10" si="6">SUM(G6:G9)</f>
        <v>119168.06000000001</v>
      </c>
      <c r="H10" s="285">
        <f t="shared" ref="H10" si="7">SUM(H6:H9)</f>
        <v>1430016.72</v>
      </c>
    </row>
    <row r="12" spans="1:8" ht="15.75" thickBot="1" x14ac:dyDescent="0.3"/>
    <row r="13" spans="1:8" ht="15.75" x14ac:dyDescent="0.25">
      <c r="B13" s="290" t="s">
        <v>324</v>
      </c>
      <c r="C13" s="291">
        <f>C10</f>
        <v>8</v>
      </c>
    </row>
    <row r="14" spans="1:8" ht="16.5" thickBot="1" x14ac:dyDescent="0.3">
      <c r="B14" s="292" t="s">
        <v>325</v>
      </c>
      <c r="C14" s="293">
        <f>D10</f>
        <v>16</v>
      </c>
    </row>
    <row r="16" spans="1:8" ht="19.5" thickBot="1" x14ac:dyDescent="0.35">
      <c r="B16" s="299" t="s">
        <v>335</v>
      </c>
      <c r="C16" s="338">
        <f>G10</f>
        <v>119168.06000000001</v>
      </c>
      <c r="D16" s="339"/>
    </row>
    <row r="17" spans="2:4" ht="19.5" thickBot="1" x14ac:dyDescent="0.35">
      <c r="B17" s="299" t="s">
        <v>334</v>
      </c>
      <c r="C17" s="338">
        <f>C16*12</f>
        <v>1430016.7200000002</v>
      </c>
      <c r="D17" s="339"/>
    </row>
  </sheetData>
  <mergeCells count="6">
    <mergeCell ref="A1:H1"/>
    <mergeCell ref="C16:D16"/>
    <mergeCell ref="C17:D17"/>
    <mergeCell ref="A3:B3"/>
    <mergeCell ref="A2:H2"/>
    <mergeCell ref="A4:H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O561"/>
  <sheetViews>
    <sheetView showGridLines="0" topLeftCell="A10" zoomScale="115" zoomScaleNormal="115" workbookViewId="0">
      <selection activeCell="A2" sqref="A2:H2"/>
    </sheetView>
  </sheetViews>
  <sheetFormatPr defaultColWidth="9.140625" defaultRowHeight="24" customHeight="1" x14ac:dyDescent="0.25"/>
  <cols>
    <col min="1" max="1" width="37.140625" style="29" customWidth="1"/>
    <col min="2" max="2" width="20" style="29" customWidth="1"/>
    <col min="3" max="3" width="21.140625" style="29" customWidth="1"/>
    <col min="4" max="4" width="21.42578125" style="29" customWidth="1"/>
    <col min="5" max="5" width="17.7109375" style="29" customWidth="1"/>
    <col min="6" max="6" width="18.42578125" style="29" customWidth="1"/>
    <col min="7" max="7" width="15.85546875" style="29" customWidth="1"/>
    <col min="8" max="8" width="15.42578125" style="29" customWidth="1"/>
    <col min="9" max="16384" width="9.140625" style="29"/>
  </cols>
  <sheetData>
    <row r="1" spans="1:8" ht="24" customHeight="1" x14ac:dyDescent="0.35">
      <c r="A1" s="374" t="s">
        <v>220</v>
      </c>
      <c r="B1" s="374"/>
      <c r="C1" s="374"/>
      <c r="D1" s="374"/>
      <c r="E1" s="374"/>
      <c r="F1" s="374"/>
      <c r="G1" s="374"/>
      <c r="H1" s="374"/>
    </row>
    <row r="2" spans="1:8" ht="24" customHeight="1" x14ac:dyDescent="0.35">
      <c r="A2" s="374" t="s">
        <v>366</v>
      </c>
      <c r="B2" s="374"/>
      <c r="C2" s="374"/>
      <c r="D2" s="374"/>
      <c r="E2" s="374"/>
      <c r="F2" s="374"/>
      <c r="G2" s="374"/>
      <c r="H2" s="374"/>
    </row>
    <row r="3" spans="1:8" ht="24" customHeight="1" thickBot="1" x14ac:dyDescent="0.4">
      <c r="A3" s="191"/>
      <c r="B3" s="191"/>
      <c r="C3" s="191"/>
      <c r="D3" s="191"/>
      <c r="E3" s="191"/>
      <c r="F3" s="191"/>
      <c r="G3" s="191"/>
      <c r="H3" s="191"/>
    </row>
    <row r="4" spans="1:8" ht="15.75" customHeight="1" thickBot="1" x14ac:dyDescent="0.3">
      <c r="A4" s="375" t="s">
        <v>344</v>
      </c>
      <c r="B4" s="376"/>
      <c r="C4" s="376"/>
      <c r="D4" s="376"/>
      <c r="E4" s="376"/>
      <c r="F4" s="376"/>
      <c r="G4" s="376"/>
      <c r="H4" s="377"/>
    </row>
    <row r="5" spans="1:8" ht="24" customHeight="1" x14ac:dyDescent="0.25">
      <c r="A5" s="91"/>
      <c r="B5" s="91"/>
      <c r="C5" s="91"/>
      <c r="D5" s="91"/>
      <c r="E5" s="91"/>
      <c r="F5" s="91"/>
      <c r="G5" s="90"/>
      <c r="H5" s="90"/>
    </row>
    <row r="6" spans="1:8" ht="24" customHeight="1" x14ac:dyDescent="0.25">
      <c r="A6" s="351" t="s">
        <v>5</v>
      </c>
      <c r="B6" s="351"/>
      <c r="C6" s="351"/>
      <c r="D6" s="351"/>
      <c r="E6" s="351"/>
      <c r="F6" s="351"/>
      <c r="G6" s="351"/>
      <c r="H6" s="351"/>
    </row>
    <row r="7" spans="1:8" ht="24" customHeight="1" x14ac:dyDescent="0.25">
      <c r="A7" s="91"/>
      <c r="B7" s="91"/>
      <c r="C7" s="91"/>
      <c r="D7" s="91"/>
      <c r="E7" s="91"/>
      <c r="F7" s="91"/>
      <c r="G7" s="90"/>
      <c r="H7" s="90"/>
    </row>
    <row r="8" spans="1:8" ht="24" customHeight="1" x14ac:dyDescent="0.25">
      <c r="A8" s="356" t="s">
        <v>0</v>
      </c>
      <c r="B8" s="357"/>
      <c r="C8" s="357"/>
      <c r="D8" s="357"/>
      <c r="E8" s="357"/>
      <c r="F8" s="357"/>
      <c r="G8" s="357"/>
      <c r="H8" s="357"/>
    </row>
    <row r="9" spans="1:8" ht="24" customHeight="1" thickBot="1" x14ac:dyDescent="0.3"/>
    <row r="10" spans="1:8" ht="24" customHeight="1" thickBot="1" x14ac:dyDescent="0.3">
      <c r="A10" s="353" t="s">
        <v>345</v>
      </c>
      <c r="B10" s="355"/>
    </row>
    <row r="11" spans="1:8" ht="24" customHeight="1" thickBot="1" x14ac:dyDescent="0.3">
      <c r="A11" s="161" t="s">
        <v>232</v>
      </c>
      <c r="B11" s="332">
        <v>1733.93</v>
      </c>
      <c r="F11" s="174"/>
    </row>
    <row r="12" spans="1:8" ht="24" customHeight="1" thickBot="1" x14ac:dyDescent="0.3">
      <c r="A12" s="156" t="s">
        <v>262</v>
      </c>
      <c r="B12" s="333">
        <f>B11</f>
        <v>1733.93</v>
      </c>
    </row>
    <row r="13" spans="1:8" ht="24" customHeight="1" x14ac:dyDescent="0.25">
      <c r="A13" s="91"/>
      <c r="B13" s="91"/>
      <c r="C13" s="91"/>
      <c r="D13" s="91"/>
      <c r="E13" s="91"/>
      <c r="F13" s="91"/>
      <c r="G13" s="91"/>
      <c r="H13" s="91"/>
    </row>
    <row r="14" spans="1:8" ht="24" customHeight="1" x14ac:dyDescent="0.25">
      <c r="A14" s="356" t="s">
        <v>264</v>
      </c>
      <c r="B14" s="357"/>
      <c r="C14" s="357"/>
      <c r="D14" s="357"/>
      <c r="E14" s="357"/>
      <c r="F14" s="357"/>
      <c r="G14" s="357"/>
      <c r="H14" s="357"/>
    </row>
    <row r="15" spans="1:8" ht="24" customHeight="1" thickBot="1" x14ac:dyDescent="0.3">
      <c r="A15" s="91"/>
      <c r="B15" s="91"/>
      <c r="C15" s="91"/>
      <c r="D15" s="91"/>
      <c r="E15" s="91"/>
      <c r="F15" s="91"/>
    </row>
    <row r="16" spans="1:8" ht="24" customHeight="1" thickBot="1" x14ac:dyDescent="0.3">
      <c r="A16" s="345" t="s">
        <v>346</v>
      </c>
      <c r="B16" s="346"/>
      <c r="C16" s="346"/>
      <c r="D16" s="347"/>
    </row>
    <row r="17" spans="1:8" ht="32.25" thickBot="1" x14ac:dyDescent="0.3">
      <c r="A17" s="37" t="s">
        <v>3</v>
      </c>
      <c r="B17" s="38" t="s">
        <v>1</v>
      </c>
      <c r="C17" s="38" t="s">
        <v>2</v>
      </c>
      <c r="D17" s="241" t="s">
        <v>131</v>
      </c>
    </row>
    <row r="18" spans="1:8" ht="24" customHeight="1" thickBot="1" x14ac:dyDescent="0.3">
      <c r="A18" s="161" t="s">
        <v>232</v>
      </c>
      <c r="B18" s="162">
        <f>B11</f>
        <v>1733.93</v>
      </c>
      <c r="C18" s="189">
        <v>0</v>
      </c>
      <c r="D18" s="190">
        <f>B18*C18</f>
        <v>0</v>
      </c>
      <c r="E18" s="90"/>
      <c r="G18" s="90"/>
      <c r="H18" s="90"/>
    </row>
    <row r="19" spans="1:8" ht="24" customHeight="1" thickBot="1" x14ac:dyDescent="0.3">
      <c r="A19" s="156" t="s">
        <v>233</v>
      </c>
      <c r="B19" s="157">
        <f>B12</f>
        <v>1733.93</v>
      </c>
      <c r="C19" s="187">
        <v>0.12</v>
      </c>
      <c r="D19" s="188">
        <f>B19*C19</f>
        <v>208.07159999999999</v>
      </c>
      <c r="E19" s="90"/>
      <c r="G19" s="90"/>
      <c r="H19" s="90"/>
    </row>
    <row r="20" spans="1:8" ht="24" customHeight="1" thickBot="1" x14ac:dyDescent="0.3"/>
    <row r="21" spans="1:8" ht="24" customHeight="1" thickBot="1" x14ac:dyDescent="0.3">
      <c r="A21" s="345" t="s">
        <v>347</v>
      </c>
      <c r="B21" s="346"/>
      <c r="C21" s="346"/>
      <c r="D21" s="347"/>
    </row>
    <row r="22" spans="1:8" ht="24" customHeight="1" thickBot="1" x14ac:dyDescent="0.3">
      <c r="A22" s="34" t="s">
        <v>3</v>
      </c>
      <c r="B22" s="35" t="s">
        <v>1</v>
      </c>
      <c r="C22" s="35" t="s">
        <v>2</v>
      </c>
      <c r="D22" s="36" t="s">
        <v>4</v>
      </c>
    </row>
    <row r="23" spans="1:8" ht="24" customHeight="1" thickBot="1" x14ac:dyDescent="0.3">
      <c r="A23" s="1" t="s">
        <v>259</v>
      </c>
      <c r="B23" s="157">
        <f>B11</f>
        <v>1733.93</v>
      </c>
      <c r="C23" s="159">
        <v>0.12</v>
      </c>
      <c r="D23" s="160">
        <f>B23*C23</f>
        <v>208.07159999999999</v>
      </c>
    </row>
    <row r="24" spans="1:8" ht="24" customHeight="1" thickBot="1" x14ac:dyDescent="0.3">
      <c r="A24" s="2" t="s">
        <v>363</v>
      </c>
      <c r="B24" s="157">
        <f>B11</f>
        <v>1733.93</v>
      </c>
      <c r="C24" s="159">
        <v>0.12</v>
      </c>
      <c r="D24" s="160">
        <f>B24*C24</f>
        <v>208.07159999999999</v>
      </c>
    </row>
    <row r="26" spans="1:8" ht="24" customHeight="1" x14ac:dyDescent="0.25">
      <c r="A26" s="356" t="s">
        <v>348</v>
      </c>
      <c r="B26" s="357"/>
      <c r="C26" s="357"/>
      <c r="D26" s="357"/>
      <c r="E26" s="357"/>
      <c r="F26" s="357"/>
      <c r="G26" s="357"/>
      <c r="H26" s="357"/>
    </row>
    <row r="27" spans="1:8" ht="24" customHeight="1" thickBot="1" x14ac:dyDescent="0.3">
      <c r="A27" s="90"/>
      <c r="B27" s="90"/>
      <c r="C27" s="90"/>
      <c r="D27" s="90"/>
      <c r="F27" s="90"/>
    </row>
    <row r="28" spans="1:8" ht="24" customHeight="1" thickBot="1" x14ac:dyDescent="0.3">
      <c r="A28" s="353" t="s">
        <v>228</v>
      </c>
      <c r="B28" s="354"/>
      <c r="C28" s="354"/>
      <c r="D28" s="355"/>
    </row>
    <row r="29" spans="1:8" ht="24" customHeight="1" thickBot="1" x14ac:dyDescent="0.3">
      <c r="A29" s="37" t="s">
        <v>3</v>
      </c>
      <c r="B29" s="38" t="s">
        <v>1</v>
      </c>
      <c r="C29" s="38" t="s">
        <v>2</v>
      </c>
      <c r="D29" s="39" t="s">
        <v>4</v>
      </c>
    </row>
    <row r="30" spans="1:8" ht="24" customHeight="1" x14ac:dyDescent="0.25">
      <c r="A30" s="3" t="s">
        <v>234</v>
      </c>
      <c r="B30" s="5">
        <f>$B$11</f>
        <v>1733.93</v>
      </c>
      <c r="C30" s="70">
        <v>0.3</v>
      </c>
      <c r="D30" s="7">
        <f t="shared" ref="D30:D35" si="0">B30*C30</f>
        <v>520.17899999999997</v>
      </c>
    </row>
    <row r="31" spans="1:8" ht="24" customHeight="1" thickBot="1" x14ac:dyDescent="0.3">
      <c r="A31" s="2" t="s">
        <v>237</v>
      </c>
      <c r="B31" s="65">
        <f t="shared" ref="B31:B33" si="1">$B$11</f>
        <v>1733.93</v>
      </c>
      <c r="C31" s="72">
        <v>0.3</v>
      </c>
      <c r="D31" s="67">
        <f t="shared" si="0"/>
        <v>520.17899999999997</v>
      </c>
    </row>
    <row r="32" spans="1:8" ht="24" customHeight="1" x14ac:dyDescent="0.25">
      <c r="A32" s="3" t="s">
        <v>259</v>
      </c>
      <c r="B32" s="5">
        <f>$B$11</f>
        <v>1733.93</v>
      </c>
      <c r="C32" s="70">
        <v>0.3</v>
      </c>
      <c r="D32" s="7">
        <f t="shared" ref="D32:D33" si="2">B32*C32</f>
        <v>520.17899999999997</v>
      </c>
    </row>
    <row r="33" spans="1:8" ht="24" customHeight="1" thickBot="1" x14ac:dyDescent="0.3">
      <c r="A33" s="2" t="s">
        <v>363</v>
      </c>
      <c r="B33" s="65">
        <f t="shared" si="1"/>
        <v>1733.93</v>
      </c>
      <c r="C33" s="72">
        <v>0.3</v>
      </c>
      <c r="D33" s="67">
        <f t="shared" si="2"/>
        <v>520.17899999999997</v>
      </c>
    </row>
    <row r="34" spans="1:8" ht="24" customHeight="1" x14ac:dyDescent="0.25">
      <c r="A34" s="1" t="s">
        <v>235</v>
      </c>
      <c r="B34" s="10">
        <f>$B$12</f>
        <v>1733.93</v>
      </c>
      <c r="C34" s="155">
        <v>0.3</v>
      </c>
      <c r="D34" s="9">
        <f t="shared" si="0"/>
        <v>520.17899999999997</v>
      </c>
    </row>
    <row r="35" spans="1:8" ht="24" customHeight="1" thickBot="1" x14ac:dyDescent="0.3">
      <c r="A35" s="2" t="s">
        <v>236</v>
      </c>
      <c r="B35" s="65">
        <f t="shared" ref="B35" si="3">$B$12</f>
        <v>1733.93</v>
      </c>
      <c r="C35" s="72">
        <v>0.3</v>
      </c>
      <c r="D35" s="67">
        <f t="shared" si="0"/>
        <v>520.17899999999997</v>
      </c>
    </row>
    <row r="37" spans="1:8" ht="24" customHeight="1" x14ac:dyDescent="0.25">
      <c r="A37" s="356" t="s">
        <v>349</v>
      </c>
      <c r="B37" s="357"/>
      <c r="C37" s="357"/>
      <c r="D37" s="357"/>
      <c r="E37" s="357"/>
      <c r="F37" s="357"/>
      <c r="G37" s="357"/>
      <c r="H37" s="357"/>
    </row>
    <row r="38" spans="1:8" ht="24" customHeight="1" thickBot="1" x14ac:dyDescent="0.3"/>
    <row r="39" spans="1:8" ht="24" customHeight="1" thickBot="1" x14ac:dyDescent="0.3">
      <c r="A39" s="345" t="s">
        <v>263</v>
      </c>
      <c r="B39" s="346"/>
      <c r="C39" s="346"/>
      <c r="D39" s="346"/>
      <c r="E39" s="347"/>
    </row>
    <row r="40" spans="1:8" ht="24" customHeight="1" thickBot="1" x14ac:dyDescent="0.3">
      <c r="A40" s="37" t="s">
        <v>3</v>
      </c>
      <c r="B40" s="38" t="s">
        <v>7</v>
      </c>
      <c r="C40" s="38" t="s">
        <v>8</v>
      </c>
      <c r="D40" s="38" t="s">
        <v>2</v>
      </c>
      <c r="E40" s="39" t="s">
        <v>4</v>
      </c>
    </row>
    <row r="41" spans="1:8" ht="24" customHeight="1" x14ac:dyDescent="0.25">
      <c r="A41" s="3" t="s">
        <v>237</v>
      </c>
      <c r="B41" s="5">
        <f>$B$11</f>
        <v>1733.93</v>
      </c>
      <c r="C41" s="76">
        <f>7/12</f>
        <v>0.58333333333333337</v>
      </c>
      <c r="D41" s="70">
        <v>0.2</v>
      </c>
      <c r="E41" s="7">
        <f>B41*C41*D41</f>
        <v>202.29183333333336</v>
      </c>
    </row>
    <row r="42" spans="1:8" ht="24" customHeight="1" thickBot="1" x14ac:dyDescent="0.3">
      <c r="A42" s="2" t="s">
        <v>236</v>
      </c>
      <c r="B42" s="65">
        <f>$B$11</f>
        <v>1733.93</v>
      </c>
      <c r="C42" s="77">
        <f>7/12</f>
        <v>0.58333333333333337</v>
      </c>
      <c r="D42" s="72">
        <f>D41</f>
        <v>0.2</v>
      </c>
      <c r="E42" s="67">
        <f>B42*C42*D42</f>
        <v>202.29183333333336</v>
      </c>
    </row>
    <row r="43" spans="1:8" ht="24" customHeight="1" thickBot="1" x14ac:dyDescent="0.3">
      <c r="A43" s="242"/>
      <c r="B43" s="243"/>
      <c r="C43" s="244"/>
      <c r="D43" s="245"/>
      <c r="E43" s="246"/>
    </row>
    <row r="44" spans="1:8" ht="24" customHeight="1" thickBot="1" x14ac:dyDescent="0.3">
      <c r="A44" s="345" t="s">
        <v>9</v>
      </c>
      <c r="B44" s="346"/>
      <c r="C44" s="346"/>
      <c r="D44" s="346"/>
      <c r="E44" s="347"/>
    </row>
    <row r="45" spans="1:8" ht="24" customHeight="1" thickBot="1" x14ac:dyDescent="0.3">
      <c r="A45" s="37" t="s">
        <v>3</v>
      </c>
      <c r="B45" s="38" t="s">
        <v>7</v>
      </c>
      <c r="C45" s="38" t="s">
        <v>8</v>
      </c>
      <c r="D45" s="38" t="s">
        <v>2</v>
      </c>
      <c r="E45" s="39" t="s">
        <v>4</v>
      </c>
    </row>
    <row r="46" spans="1:8" ht="24" customHeight="1" thickBot="1" x14ac:dyDescent="0.3">
      <c r="A46" s="161" t="s">
        <v>237</v>
      </c>
      <c r="B46" s="162">
        <f>$B$11</f>
        <v>1733.93</v>
      </c>
      <c r="C46" s="163">
        <f>1/12</f>
        <v>8.3333333333333329E-2</v>
      </c>
      <c r="D46" s="164">
        <f>1+D41</f>
        <v>1.2</v>
      </c>
      <c r="E46" s="165">
        <f>B46*C46*D46</f>
        <v>173.393</v>
      </c>
    </row>
    <row r="47" spans="1:8" ht="24" customHeight="1" thickBot="1" x14ac:dyDescent="0.3">
      <c r="A47" s="156" t="s">
        <v>236</v>
      </c>
      <c r="B47" s="157">
        <f>$B$11</f>
        <v>1733.93</v>
      </c>
      <c r="C47" s="158">
        <f>1/12</f>
        <v>8.3333333333333329E-2</v>
      </c>
      <c r="D47" s="159">
        <f>1+D42</f>
        <v>1.2</v>
      </c>
      <c r="E47" s="160">
        <f>B47*C47*D47</f>
        <v>173.393</v>
      </c>
    </row>
    <row r="48" spans="1:8" ht="24" customHeight="1" thickBot="1" x14ac:dyDescent="0.3"/>
    <row r="49" spans="1:8" ht="24" customHeight="1" thickBot="1" x14ac:dyDescent="0.3">
      <c r="A49" s="353" t="s">
        <v>6</v>
      </c>
      <c r="B49" s="354"/>
      <c r="C49" s="354"/>
      <c r="D49" s="355"/>
    </row>
    <row r="50" spans="1:8" ht="31.9" customHeight="1" thickBot="1" x14ac:dyDescent="0.3">
      <c r="A50" s="37" t="s">
        <v>3</v>
      </c>
      <c r="B50" s="38" t="s">
        <v>10</v>
      </c>
      <c r="C50" s="11" t="s">
        <v>11</v>
      </c>
      <c r="D50" s="39" t="s">
        <v>4</v>
      </c>
    </row>
    <row r="51" spans="1:8" ht="24" customHeight="1" thickBot="1" x14ac:dyDescent="0.3">
      <c r="A51" s="161" t="s">
        <v>237</v>
      </c>
      <c r="B51" s="162">
        <f>E41</f>
        <v>202.29183333333336</v>
      </c>
      <c r="C51" s="162">
        <f>E46</f>
        <v>173.393</v>
      </c>
      <c r="D51" s="165">
        <f>SUM(B51:C51)</f>
        <v>375.68483333333336</v>
      </c>
    </row>
    <row r="52" spans="1:8" ht="24" customHeight="1" thickBot="1" x14ac:dyDescent="0.3">
      <c r="A52" s="156" t="s">
        <v>236</v>
      </c>
      <c r="B52" s="157">
        <f>E42</f>
        <v>202.29183333333336</v>
      </c>
      <c r="C52" s="157">
        <f>E47</f>
        <v>173.393</v>
      </c>
      <c r="D52" s="160">
        <f>SUM(B52:C52)</f>
        <v>375.68483333333336</v>
      </c>
      <c r="G52" s="90"/>
      <c r="H52" s="90"/>
    </row>
    <row r="54" spans="1:8" ht="24" customHeight="1" x14ac:dyDescent="0.25">
      <c r="A54" s="356" t="s">
        <v>350</v>
      </c>
      <c r="B54" s="357"/>
      <c r="C54" s="357"/>
      <c r="D54" s="357"/>
      <c r="E54" s="357"/>
      <c r="F54" s="357"/>
      <c r="G54" s="357"/>
      <c r="H54" s="357"/>
    </row>
    <row r="55" spans="1:8" ht="24" customHeight="1" thickBot="1" x14ac:dyDescent="0.3"/>
    <row r="56" spans="1:8" ht="24" customHeight="1" thickBot="1" x14ac:dyDescent="0.3">
      <c r="A56" s="353" t="s">
        <v>265</v>
      </c>
      <c r="B56" s="354"/>
      <c r="C56" s="354"/>
      <c r="D56" s="355"/>
    </row>
    <row r="57" spans="1:8" ht="24" customHeight="1" thickBot="1" x14ac:dyDescent="0.3">
      <c r="A57" s="37" t="s">
        <v>3</v>
      </c>
      <c r="B57" s="38" t="s">
        <v>1</v>
      </c>
      <c r="C57" s="38" t="s">
        <v>267</v>
      </c>
      <c r="D57" s="39" t="s">
        <v>4</v>
      </c>
    </row>
    <row r="58" spans="1:8" ht="24" customHeight="1" x14ac:dyDescent="0.25">
      <c r="A58" s="3" t="s">
        <v>234</v>
      </c>
      <c r="B58" s="5">
        <f>((B11+D30)/220*100%)</f>
        <v>10.245949999999999</v>
      </c>
      <c r="C58" s="68">
        <f>3*12</f>
        <v>36</v>
      </c>
      <c r="D58" s="150">
        <f>(B58*C58)/12</f>
        <v>30.737849999999995</v>
      </c>
    </row>
    <row r="59" spans="1:8" ht="24" customHeight="1" thickBot="1" x14ac:dyDescent="0.3">
      <c r="A59" s="2" t="s">
        <v>237</v>
      </c>
      <c r="B59" s="65">
        <f>((B11+D31+D51)/220*100%)</f>
        <v>11.953608333333333</v>
      </c>
      <c r="C59" s="69">
        <f>3*12</f>
        <v>36</v>
      </c>
      <c r="D59" s="154">
        <f>(B59*C59)/12</f>
        <v>35.860824999999998</v>
      </c>
    </row>
    <row r="60" spans="1:8" ht="24" customHeight="1" x14ac:dyDescent="0.25">
      <c r="A60" s="3" t="s">
        <v>259</v>
      </c>
      <c r="B60" s="5">
        <f>((B11+D30)/220*100%)</f>
        <v>10.245949999999999</v>
      </c>
      <c r="C60" s="68">
        <f>3*12</f>
        <v>36</v>
      </c>
      <c r="D60" s="150">
        <f>(B60*C60)/12</f>
        <v>30.737849999999995</v>
      </c>
    </row>
    <row r="61" spans="1:8" ht="24" customHeight="1" thickBot="1" x14ac:dyDescent="0.3">
      <c r="A61" s="2" t="s">
        <v>363</v>
      </c>
      <c r="B61" s="65">
        <f>((B11+D31+D51)/220*100%)</f>
        <v>11.953608333333333</v>
      </c>
      <c r="C61" s="69">
        <f>3*12</f>
        <v>36</v>
      </c>
      <c r="D61" s="154">
        <f>(B61*C61)/12</f>
        <v>35.860824999999998</v>
      </c>
    </row>
    <row r="62" spans="1:8" ht="24" customHeight="1" x14ac:dyDescent="0.25">
      <c r="A62" s="1" t="s">
        <v>235</v>
      </c>
      <c r="B62" s="10">
        <f>((B12+D34)/220*100%)</f>
        <v>10.245949999999999</v>
      </c>
      <c r="C62" s="166">
        <f t="shared" ref="C62:C63" si="4">3*12</f>
        <v>36</v>
      </c>
      <c r="D62" s="167">
        <f t="shared" ref="D62:D63" si="5">(B62*C62)/12</f>
        <v>30.737849999999995</v>
      </c>
    </row>
    <row r="63" spans="1:8" ht="24" customHeight="1" thickBot="1" x14ac:dyDescent="0.3">
      <c r="A63" s="2" t="s">
        <v>236</v>
      </c>
      <c r="B63" s="65">
        <f>((B12+D35+D52)/220*100%)</f>
        <v>11.953608333333333</v>
      </c>
      <c r="C63" s="69">
        <f t="shared" si="4"/>
        <v>36</v>
      </c>
      <c r="D63" s="154">
        <f t="shared" si="5"/>
        <v>35.860824999999998</v>
      </c>
    </row>
    <row r="65" spans="1:8" ht="24" customHeight="1" x14ac:dyDescent="0.25">
      <c r="A65" s="351" t="s">
        <v>5</v>
      </c>
      <c r="B65" s="351"/>
      <c r="C65" s="351"/>
      <c r="D65" s="351"/>
      <c r="E65" s="351"/>
      <c r="F65" s="351"/>
      <c r="G65" s="351"/>
      <c r="H65" s="351"/>
    </row>
    <row r="66" spans="1:8" ht="24" customHeight="1" thickBot="1" x14ac:dyDescent="0.3"/>
    <row r="67" spans="1:8" ht="24" customHeight="1" thickBot="1" x14ac:dyDescent="0.3">
      <c r="A67" s="345" t="s">
        <v>5</v>
      </c>
      <c r="B67" s="346"/>
      <c r="C67" s="346"/>
      <c r="D67" s="346"/>
      <c r="E67" s="346"/>
      <c r="F67" s="346"/>
      <c r="G67" s="346"/>
      <c r="H67" s="347"/>
    </row>
    <row r="68" spans="1:8" ht="79.5" thickBot="1" x14ac:dyDescent="0.3">
      <c r="A68" s="240" t="s">
        <v>3</v>
      </c>
      <c r="B68" s="11" t="s">
        <v>351</v>
      </c>
      <c r="C68" s="11" t="s">
        <v>352</v>
      </c>
      <c r="D68" s="11" t="s">
        <v>353</v>
      </c>
      <c r="E68" s="11" t="s">
        <v>354</v>
      </c>
      <c r="F68" s="11" t="s">
        <v>355</v>
      </c>
      <c r="G68" s="11" t="s">
        <v>356</v>
      </c>
      <c r="H68" s="241" t="s">
        <v>12</v>
      </c>
    </row>
    <row r="69" spans="1:8" ht="24" customHeight="1" x14ac:dyDescent="0.25">
      <c r="A69" s="3" t="s">
        <v>234</v>
      </c>
      <c r="B69" s="5">
        <f>B11</f>
        <v>1733.93</v>
      </c>
      <c r="C69" s="5">
        <f>D18</f>
        <v>0</v>
      </c>
      <c r="D69" s="87">
        <v>0</v>
      </c>
      <c r="E69" s="5">
        <f t="shared" ref="E69:E74" si="6">D30</f>
        <v>520.17899999999997</v>
      </c>
      <c r="F69" s="5">
        <v>0</v>
      </c>
      <c r="G69" s="87">
        <f t="shared" ref="G69:G74" si="7">D58</f>
        <v>30.737849999999995</v>
      </c>
      <c r="H69" s="7">
        <f t="shared" ref="H69:H74" si="8">SUM(B69:G69)</f>
        <v>2284.8468499999999</v>
      </c>
    </row>
    <row r="70" spans="1:8" ht="24" customHeight="1" thickBot="1" x14ac:dyDescent="0.3">
      <c r="A70" s="4" t="s">
        <v>237</v>
      </c>
      <c r="B70" s="6">
        <f>B11</f>
        <v>1733.93</v>
      </c>
      <c r="C70" s="6">
        <f>D18</f>
        <v>0</v>
      </c>
      <c r="D70" s="88">
        <v>0</v>
      </c>
      <c r="E70" s="6">
        <f t="shared" si="6"/>
        <v>520.17899999999997</v>
      </c>
      <c r="F70" s="6">
        <f>D51</f>
        <v>375.68483333333336</v>
      </c>
      <c r="G70" s="88">
        <f t="shared" si="7"/>
        <v>35.860824999999998</v>
      </c>
      <c r="H70" s="9">
        <f t="shared" si="8"/>
        <v>2665.6546583333334</v>
      </c>
    </row>
    <row r="71" spans="1:8" ht="24" customHeight="1" x14ac:dyDescent="0.25">
      <c r="A71" s="3" t="s">
        <v>259</v>
      </c>
      <c r="B71" s="5">
        <f>B11</f>
        <v>1733.93</v>
      </c>
      <c r="C71" s="5">
        <f>D20</f>
        <v>0</v>
      </c>
      <c r="D71" s="87">
        <f>D23</f>
        <v>208.07159999999999</v>
      </c>
      <c r="E71" s="5">
        <f t="shared" si="6"/>
        <v>520.17899999999997</v>
      </c>
      <c r="F71" s="5">
        <v>0</v>
      </c>
      <c r="G71" s="87">
        <f t="shared" si="7"/>
        <v>30.737849999999995</v>
      </c>
      <c r="H71" s="7">
        <f t="shared" si="8"/>
        <v>2492.9184500000001</v>
      </c>
    </row>
    <row r="72" spans="1:8" ht="24" customHeight="1" thickBot="1" x14ac:dyDescent="0.3">
      <c r="A72" s="2" t="s">
        <v>363</v>
      </c>
      <c r="B72" s="65">
        <f>B11</f>
        <v>1733.93</v>
      </c>
      <c r="C72" s="65">
        <f>D20</f>
        <v>0</v>
      </c>
      <c r="D72" s="89">
        <f>D24</f>
        <v>208.07159999999999</v>
      </c>
      <c r="E72" s="65">
        <f t="shared" si="6"/>
        <v>520.17899999999997</v>
      </c>
      <c r="F72" s="65">
        <f>D51</f>
        <v>375.68483333333336</v>
      </c>
      <c r="G72" s="89">
        <f t="shared" si="7"/>
        <v>35.860824999999998</v>
      </c>
      <c r="H72" s="160">
        <f t="shared" si="8"/>
        <v>2873.7262583333336</v>
      </c>
    </row>
    <row r="73" spans="1:8" ht="24" customHeight="1" x14ac:dyDescent="0.25">
      <c r="A73" s="3" t="s">
        <v>235</v>
      </c>
      <c r="B73" s="5">
        <f>B12</f>
        <v>1733.93</v>
      </c>
      <c r="C73" s="5">
        <f>D19</f>
        <v>208.07159999999999</v>
      </c>
      <c r="D73" s="87">
        <v>0</v>
      </c>
      <c r="E73" s="5">
        <f t="shared" si="6"/>
        <v>520.17899999999997</v>
      </c>
      <c r="F73" s="5">
        <v>0</v>
      </c>
      <c r="G73" s="87">
        <f t="shared" si="7"/>
        <v>30.737849999999995</v>
      </c>
      <c r="H73" s="7">
        <f t="shared" si="8"/>
        <v>2492.9184500000001</v>
      </c>
    </row>
    <row r="74" spans="1:8" ht="24" customHeight="1" thickBot="1" x14ac:dyDescent="0.3">
      <c r="A74" s="2" t="s">
        <v>238</v>
      </c>
      <c r="B74" s="65">
        <f>B12</f>
        <v>1733.93</v>
      </c>
      <c r="C74" s="65">
        <f>D19</f>
        <v>208.07159999999999</v>
      </c>
      <c r="D74" s="89">
        <v>0</v>
      </c>
      <c r="E74" s="65">
        <f t="shared" si="6"/>
        <v>520.17899999999997</v>
      </c>
      <c r="F74" s="65">
        <f>D52</f>
        <v>375.68483333333336</v>
      </c>
      <c r="G74" s="89">
        <f t="shared" si="7"/>
        <v>35.860824999999998</v>
      </c>
      <c r="H74" s="160">
        <f t="shared" si="8"/>
        <v>2873.7262583333336</v>
      </c>
    </row>
    <row r="76" spans="1:8" ht="24" customHeight="1" x14ac:dyDescent="0.25">
      <c r="A76" s="351" t="s">
        <v>127</v>
      </c>
      <c r="B76" s="351"/>
      <c r="C76" s="351"/>
      <c r="D76" s="351"/>
      <c r="E76" s="351"/>
      <c r="F76" s="351"/>
      <c r="G76" s="351"/>
      <c r="H76" s="351"/>
    </row>
    <row r="78" spans="1:8" ht="24" customHeight="1" x14ac:dyDescent="0.25">
      <c r="A78" s="356" t="s">
        <v>130</v>
      </c>
      <c r="B78" s="357"/>
      <c r="C78" s="357"/>
      <c r="D78" s="357"/>
      <c r="E78" s="357"/>
      <c r="F78" s="357"/>
      <c r="G78" s="357"/>
      <c r="H78" s="357"/>
    </row>
    <row r="79" spans="1:8" ht="24" customHeight="1" thickBot="1" x14ac:dyDescent="0.3"/>
    <row r="80" spans="1:8" ht="27.75" customHeight="1" thickBot="1" x14ac:dyDescent="0.3">
      <c r="A80" s="358" t="s">
        <v>134</v>
      </c>
      <c r="B80" s="354"/>
      <c r="C80" s="354"/>
      <c r="D80" s="355"/>
      <c r="E80" s="92"/>
    </row>
    <row r="81" spans="1:4" ht="32.25" thickBot="1" x14ac:dyDescent="0.3">
      <c r="A81" s="12" t="s">
        <v>3</v>
      </c>
      <c r="B81" s="13" t="s">
        <v>1</v>
      </c>
      <c r="C81" s="15" t="s">
        <v>129</v>
      </c>
      <c r="D81" s="14" t="s">
        <v>4</v>
      </c>
    </row>
    <row r="82" spans="1:4" ht="24" customHeight="1" x14ac:dyDescent="0.25">
      <c r="A82" s="3" t="s">
        <v>234</v>
      </c>
      <c r="B82" s="5">
        <f t="shared" ref="B82:B87" si="9">H69</f>
        <v>2284.8468499999999</v>
      </c>
      <c r="C82" s="81">
        <f>1/12</f>
        <v>8.3333333333333329E-2</v>
      </c>
      <c r="D82" s="7">
        <f>B82*C82</f>
        <v>190.40390416666665</v>
      </c>
    </row>
    <row r="83" spans="1:4" ht="24" customHeight="1" thickBot="1" x14ac:dyDescent="0.3">
      <c r="A83" s="4" t="s">
        <v>237</v>
      </c>
      <c r="B83" s="6">
        <f t="shared" si="9"/>
        <v>2665.6546583333334</v>
      </c>
      <c r="C83" s="79">
        <f t="shared" ref="C83:C87" si="10">1/12</f>
        <v>8.3333333333333329E-2</v>
      </c>
      <c r="D83" s="8">
        <f t="shared" ref="D83:D87" si="11">B83*C83</f>
        <v>222.13788819444443</v>
      </c>
    </row>
    <row r="84" spans="1:4" ht="24" customHeight="1" x14ac:dyDescent="0.25">
      <c r="A84" s="3" t="s">
        <v>259</v>
      </c>
      <c r="B84" s="5">
        <f t="shared" si="9"/>
        <v>2492.9184500000001</v>
      </c>
      <c r="C84" s="81">
        <f>1/12</f>
        <v>8.3333333333333329E-2</v>
      </c>
      <c r="D84" s="7">
        <f>B84*C84</f>
        <v>207.74320416666666</v>
      </c>
    </row>
    <row r="85" spans="1:4" ht="24" customHeight="1" thickBot="1" x14ac:dyDescent="0.3">
      <c r="A85" s="2" t="s">
        <v>363</v>
      </c>
      <c r="B85" s="6">
        <f t="shared" si="9"/>
        <v>2873.7262583333336</v>
      </c>
      <c r="C85" s="79">
        <f t="shared" si="10"/>
        <v>8.3333333333333329E-2</v>
      </c>
      <c r="D85" s="8">
        <f t="shared" ref="D85" si="12">B85*C85</f>
        <v>239.47718819444447</v>
      </c>
    </row>
    <row r="86" spans="1:4" ht="24" customHeight="1" x14ac:dyDescent="0.25">
      <c r="A86" s="3" t="s">
        <v>235</v>
      </c>
      <c r="B86" s="5">
        <f t="shared" si="9"/>
        <v>2492.9184500000001</v>
      </c>
      <c r="C86" s="81">
        <f t="shared" si="10"/>
        <v>8.3333333333333329E-2</v>
      </c>
      <c r="D86" s="7">
        <f t="shared" si="11"/>
        <v>207.74320416666666</v>
      </c>
    </row>
    <row r="87" spans="1:4" ht="24" customHeight="1" thickBot="1" x14ac:dyDescent="0.3">
      <c r="A87" s="2" t="s">
        <v>236</v>
      </c>
      <c r="B87" s="65">
        <f t="shared" si="9"/>
        <v>2873.7262583333336</v>
      </c>
      <c r="C87" s="80">
        <f t="shared" si="10"/>
        <v>8.3333333333333329E-2</v>
      </c>
      <c r="D87" s="67">
        <f t="shared" si="11"/>
        <v>239.47718819444447</v>
      </c>
    </row>
    <row r="88" spans="1:4" ht="24" customHeight="1" thickBot="1" x14ac:dyDescent="0.3"/>
    <row r="89" spans="1:4" ht="28.5" customHeight="1" thickBot="1" x14ac:dyDescent="0.3">
      <c r="A89" s="358" t="s">
        <v>135</v>
      </c>
      <c r="B89" s="354"/>
      <c r="C89" s="354"/>
      <c r="D89" s="355"/>
    </row>
    <row r="90" spans="1:4" ht="32.25" thickBot="1" x14ac:dyDescent="0.3">
      <c r="A90" s="12" t="s">
        <v>3</v>
      </c>
      <c r="B90" s="13" t="s">
        <v>1</v>
      </c>
      <c r="C90" s="15" t="s">
        <v>129</v>
      </c>
      <c r="D90" s="14" t="s">
        <v>4</v>
      </c>
    </row>
    <row r="91" spans="1:4" ht="24" customHeight="1" x14ac:dyDescent="0.25">
      <c r="A91" s="3" t="s">
        <v>234</v>
      </c>
      <c r="B91" s="5">
        <f>H69</f>
        <v>2284.8468499999999</v>
      </c>
      <c r="C91" s="81">
        <f>1/12</f>
        <v>8.3333333333333329E-2</v>
      </c>
      <c r="D91" s="7">
        <f>B91*C91</f>
        <v>190.40390416666665</v>
      </c>
    </row>
    <row r="92" spans="1:4" ht="24" customHeight="1" thickBot="1" x14ac:dyDescent="0.3">
      <c r="A92" s="4" t="s">
        <v>237</v>
      </c>
      <c r="B92" s="6">
        <f>H70</f>
        <v>2665.6546583333334</v>
      </c>
      <c r="C92" s="79">
        <f t="shared" ref="C92:C96" si="13">1/12</f>
        <v>8.3333333333333329E-2</v>
      </c>
      <c r="D92" s="8">
        <f t="shared" ref="D92:D96" si="14">B92*C92</f>
        <v>222.13788819444443</v>
      </c>
    </row>
    <row r="93" spans="1:4" ht="24" customHeight="1" x14ac:dyDescent="0.25">
      <c r="A93" s="3" t="s">
        <v>259</v>
      </c>
      <c r="B93" s="5">
        <f>H71</f>
        <v>2492.9184500000001</v>
      </c>
      <c r="C93" s="81">
        <f>1/12</f>
        <v>8.3333333333333329E-2</v>
      </c>
      <c r="D93" s="7">
        <f>B93*C93</f>
        <v>207.74320416666666</v>
      </c>
    </row>
    <row r="94" spans="1:4" ht="24" customHeight="1" thickBot="1" x14ac:dyDescent="0.3">
      <c r="A94" s="2" t="s">
        <v>363</v>
      </c>
      <c r="B94" s="6">
        <f>H71</f>
        <v>2492.9184500000001</v>
      </c>
      <c r="C94" s="79">
        <f t="shared" si="13"/>
        <v>8.3333333333333329E-2</v>
      </c>
      <c r="D94" s="8">
        <f t="shared" ref="D94" si="15">B94*C94</f>
        <v>207.74320416666666</v>
      </c>
    </row>
    <row r="95" spans="1:4" ht="24" customHeight="1" x14ac:dyDescent="0.25">
      <c r="A95" s="3" t="s">
        <v>235</v>
      </c>
      <c r="B95" s="5">
        <f>H73</f>
        <v>2492.9184500000001</v>
      </c>
      <c r="C95" s="81">
        <f t="shared" si="13"/>
        <v>8.3333333333333329E-2</v>
      </c>
      <c r="D95" s="7">
        <f t="shared" si="14"/>
        <v>207.74320416666666</v>
      </c>
    </row>
    <row r="96" spans="1:4" ht="24" customHeight="1" thickBot="1" x14ac:dyDescent="0.3">
      <c r="A96" s="2" t="s">
        <v>236</v>
      </c>
      <c r="B96" s="65">
        <f>H74</f>
        <v>2873.7262583333336</v>
      </c>
      <c r="C96" s="80">
        <f t="shared" si="13"/>
        <v>8.3333333333333329E-2</v>
      </c>
      <c r="D96" s="67">
        <f t="shared" si="14"/>
        <v>239.47718819444447</v>
      </c>
    </row>
    <row r="97" spans="1:5" ht="24" customHeight="1" thickBot="1" x14ac:dyDescent="0.3"/>
    <row r="98" spans="1:5" ht="24" customHeight="1" thickBot="1" x14ac:dyDescent="0.3">
      <c r="A98" s="348" t="s">
        <v>13</v>
      </c>
      <c r="B98" s="349"/>
      <c r="C98" s="349"/>
      <c r="D98" s="349"/>
      <c r="E98" s="350"/>
    </row>
    <row r="99" spans="1:5" ht="32.25" thickBot="1" x14ac:dyDescent="0.3">
      <c r="A99" s="12" t="s">
        <v>3</v>
      </c>
      <c r="B99" s="13" t="s">
        <v>1</v>
      </c>
      <c r="C99" s="15" t="s">
        <v>14</v>
      </c>
      <c r="D99" s="15" t="s">
        <v>129</v>
      </c>
      <c r="E99" s="14" t="s">
        <v>4</v>
      </c>
    </row>
    <row r="100" spans="1:5" ht="24" customHeight="1" x14ac:dyDescent="0.25">
      <c r="A100" s="3" t="s">
        <v>234</v>
      </c>
      <c r="B100" s="5">
        <f t="shared" ref="B100:B105" si="16">H69</f>
        <v>2284.8468499999999</v>
      </c>
      <c r="C100" s="76">
        <f>1/3</f>
        <v>0.33333333333333331</v>
      </c>
      <c r="D100" s="81">
        <f>1/12</f>
        <v>8.3333333333333329E-2</v>
      </c>
      <c r="E100" s="7">
        <f t="shared" ref="E100:E105" si="17">B100*C100*D100</f>
        <v>63.467968055555545</v>
      </c>
    </row>
    <row r="101" spans="1:5" ht="24" customHeight="1" thickBot="1" x14ac:dyDescent="0.3">
      <c r="A101" s="4" t="s">
        <v>237</v>
      </c>
      <c r="B101" s="6">
        <f t="shared" si="16"/>
        <v>2665.6546583333334</v>
      </c>
      <c r="C101" s="82">
        <f t="shared" ref="C101:C105" si="18">1/3</f>
        <v>0.33333333333333331</v>
      </c>
      <c r="D101" s="79">
        <f t="shared" ref="D101:D105" si="19">1/12</f>
        <v>8.3333333333333329E-2</v>
      </c>
      <c r="E101" s="8">
        <f t="shared" si="17"/>
        <v>74.045962731481467</v>
      </c>
    </row>
    <row r="102" spans="1:5" ht="24" customHeight="1" x14ac:dyDescent="0.25">
      <c r="A102" s="3" t="s">
        <v>259</v>
      </c>
      <c r="B102" s="5">
        <f t="shared" si="16"/>
        <v>2492.9184500000001</v>
      </c>
      <c r="C102" s="76">
        <f>1/3</f>
        <v>0.33333333333333331</v>
      </c>
      <c r="D102" s="81">
        <f>1/12</f>
        <v>8.3333333333333329E-2</v>
      </c>
      <c r="E102" s="7">
        <f t="shared" ref="E102:E103" si="20">B102*C102*D102</f>
        <v>69.247734722222219</v>
      </c>
    </row>
    <row r="103" spans="1:5" ht="24" customHeight="1" thickBot="1" x14ac:dyDescent="0.3">
      <c r="A103" s="2" t="s">
        <v>363</v>
      </c>
      <c r="B103" s="6">
        <f t="shared" si="16"/>
        <v>2873.7262583333336</v>
      </c>
      <c r="C103" s="82">
        <f t="shared" si="18"/>
        <v>0.33333333333333331</v>
      </c>
      <c r="D103" s="79">
        <f t="shared" si="19"/>
        <v>8.3333333333333329E-2</v>
      </c>
      <c r="E103" s="8">
        <f t="shared" si="20"/>
        <v>79.825729398148155</v>
      </c>
    </row>
    <row r="104" spans="1:5" ht="24" customHeight="1" x14ac:dyDescent="0.25">
      <c r="A104" s="3" t="s">
        <v>235</v>
      </c>
      <c r="B104" s="5">
        <f t="shared" si="16"/>
        <v>2492.9184500000001</v>
      </c>
      <c r="C104" s="76">
        <f t="shared" si="18"/>
        <v>0.33333333333333331</v>
      </c>
      <c r="D104" s="81">
        <f t="shared" si="19"/>
        <v>8.3333333333333329E-2</v>
      </c>
      <c r="E104" s="7">
        <f t="shared" si="17"/>
        <v>69.247734722222219</v>
      </c>
    </row>
    <row r="105" spans="1:5" ht="24" customHeight="1" thickBot="1" x14ac:dyDescent="0.3">
      <c r="A105" s="2" t="s">
        <v>236</v>
      </c>
      <c r="B105" s="65">
        <f t="shared" si="16"/>
        <v>2873.7262583333336</v>
      </c>
      <c r="C105" s="77">
        <f t="shared" si="18"/>
        <v>0.33333333333333331</v>
      </c>
      <c r="D105" s="80">
        <f t="shared" si="19"/>
        <v>8.3333333333333329E-2</v>
      </c>
      <c r="E105" s="67">
        <f t="shared" si="17"/>
        <v>79.825729398148155</v>
      </c>
    </row>
    <row r="106" spans="1:5" ht="24" customHeight="1" thickBot="1" x14ac:dyDescent="0.3"/>
    <row r="107" spans="1:5" ht="24" customHeight="1" thickBot="1" x14ac:dyDescent="0.3">
      <c r="A107" s="345" t="s">
        <v>130</v>
      </c>
      <c r="B107" s="346"/>
      <c r="C107" s="346"/>
      <c r="D107" s="346"/>
      <c r="E107" s="347"/>
    </row>
    <row r="108" spans="1:5" ht="24" customHeight="1" thickBot="1" x14ac:dyDescent="0.3">
      <c r="A108" s="12" t="s">
        <v>3</v>
      </c>
      <c r="B108" s="13" t="s">
        <v>126</v>
      </c>
      <c r="C108" s="13" t="s">
        <v>125</v>
      </c>
      <c r="D108" s="13" t="s">
        <v>15</v>
      </c>
      <c r="E108" s="14" t="s">
        <v>12</v>
      </c>
    </row>
    <row r="109" spans="1:5" ht="24" customHeight="1" x14ac:dyDescent="0.25">
      <c r="A109" s="3" t="s">
        <v>234</v>
      </c>
      <c r="B109" s="5">
        <f t="shared" ref="B109:B114" si="21">D82</f>
        <v>190.40390416666665</v>
      </c>
      <c r="C109" s="5">
        <f t="shared" ref="C109:C114" si="22">D91</f>
        <v>190.40390416666665</v>
      </c>
      <c r="D109" s="5">
        <f t="shared" ref="D109:D114" si="23">E100</f>
        <v>63.467968055555545</v>
      </c>
      <c r="E109" s="7">
        <f t="shared" ref="E109:E114" si="24">SUM(B109:D109)</f>
        <v>444.27577638888886</v>
      </c>
    </row>
    <row r="110" spans="1:5" ht="24" customHeight="1" thickBot="1" x14ac:dyDescent="0.3">
      <c r="A110" s="4" t="s">
        <v>237</v>
      </c>
      <c r="B110" s="6">
        <f t="shared" si="21"/>
        <v>222.13788819444443</v>
      </c>
      <c r="C110" s="6">
        <f t="shared" si="22"/>
        <v>222.13788819444443</v>
      </c>
      <c r="D110" s="6">
        <f t="shared" si="23"/>
        <v>74.045962731481467</v>
      </c>
      <c r="E110" s="8">
        <f t="shared" si="24"/>
        <v>518.32173912037035</v>
      </c>
    </row>
    <row r="111" spans="1:5" ht="24" customHeight="1" x14ac:dyDescent="0.25">
      <c r="A111" s="3" t="s">
        <v>259</v>
      </c>
      <c r="B111" s="5">
        <f t="shared" si="21"/>
        <v>207.74320416666666</v>
      </c>
      <c r="C111" s="5">
        <f t="shared" si="22"/>
        <v>207.74320416666666</v>
      </c>
      <c r="D111" s="5">
        <f t="shared" si="23"/>
        <v>69.247734722222219</v>
      </c>
      <c r="E111" s="7">
        <f t="shared" ref="E111:E112" si="25">SUM(B111:D111)</f>
        <v>484.73414305555553</v>
      </c>
    </row>
    <row r="112" spans="1:5" ht="24" customHeight="1" thickBot="1" x14ac:dyDescent="0.3">
      <c r="A112" s="2" t="s">
        <v>363</v>
      </c>
      <c r="B112" s="6">
        <f t="shared" si="21"/>
        <v>239.47718819444447</v>
      </c>
      <c r="C112" s="6">
        <f t="shared" si="22"/>
        <v>207.74320416666666</v>
      </c>
      <c r="D112" s="6">
        <f t="shared" si="23"/>
        <v>79.825729398148155</v>
      </c>
      <c r="E112" s="8">
        <f t="shared" si="25"/>
        <v>527.04612175925922</v>
      </c>
    </row>
    <row r="113" spans="1:8" ht="24" customHeight="1" x14ac:dyDescent="0.25">
      <c r="A113" s="3" t="s">
        <v>235</v>
      </c>
      <c r="B113" s="5">
        <f t="shared" si="21"/>
        <v>207.74320416666666</v>
      </c>
      <c r="C113" s="5">
        <f t="shared" si="22"/>
        <v>207.74320416666666</v>
      </c>
      <c r="D113" s="5">
        <f t="shared" si="23"/>
        <v>69.247734722222219</v>
      </c>
      <c r="E113" s="7">
        <f t="shared" si="24"/>
        <v>484.73414305555553</v>
      </c>
    </row>
    <row r="114" spans="1:8" ht="24" customHeight="1" thickBot="1" x14ac:dyDescent="0.3">
      <c r="A114" s="2" t="s">
        <v>236</v>
      </c>
      <c r="B114" s="65">
        <f t="shared" si="21"/>
        <v>239.47718819444447</v>
      </c>
      <c r="C114" s="65">
        <f t="shared" si="22"/>
        <v>239.47718819444447</v>
      </c>
      <c r="D114" s="65">
        <f t="shared" si="23"/>
        <v>79.825729398148155</v>
      </c>
      <c r="E114" s="67">
        <f t="shared" si="24"/>
        <v>558.78010578703709</v>
      </c>
    </row>
    <row r="116" spans="1:8" ht="24" customHeight="1" x14ac:dyDescent="0.25">
      <c r="A116" s="356" t="s">
        <v>17</v>
      </c>
      <c r="B116" s="357"/>
      <c r="C116" s="357"/>
      <c r="D116" s="357"/>
      <c r="E116" s="357"/>
      <c r="F116" s="357"/>
      <c r="G116" s="357"/>
      <c r="H116" s="357"/>
    </row>
    <row r="117" spans="1:8" ht="24" customHeight="1" x14ac:dyDescent="0.25">
      <c r="A117" s="352" t="s">
        <v>224</v>
      </c>
      <c r="B117" s="352"/>
      <c r="C117" s="352"/>
      <c r="D117" s="352"/>
      <c r="E117" s="352"/>
      <c r="F117" s="352"/>
      <c r="G117" s="352"/>
      <c r="H117" s="352"/>
    </row>
    <row r="118" spans="1:8" ht="24" customHeight="1" thickBot="1" x14ac:dyDescent="0.3"/>
    <row r="119" spans="1:8" ht="24" customHeight="1" thickBot="1" x14ac:dyDescent="0.3">
      <c r="A119" s="353" t="s">
        <v>18</v>
      </c>
      <c r="B119" s="355"/>
    </row>
    <row r="120" spans="1:8" ht="24" customHeight="1" thickBot="1" x14ac:dyDescent="0.3">
      <c r="A120" s="12" t="s">
        <v>19</v>
      </c>
      <c r="B120" s="14" t="s">
        <v>2</v>
      </c>
    </row>
    <row r="121" spans="1:8" ht="24" customHeight="1" x14ac:dyDescent="0.25">
      <c r="A121" s="3" t="s">
        <v>20</v>
      </c>
      <c r="B121" s="17">
        <v>0.2</v>
      </c>
    </row>
    <row r="122" spans="1:8" ht="24" customHeight="1" x14ac:dyDescent="0.25">
      <c r="A122" s="4" t="s">
        <v>21</v>
      </c>
      <c r="B122" s="16">
        <v>2.5000000000000001E-2</v>
      </c>
    </row>
    <row r="123" spans="1:8" ht="24" customHeight="1" x14ac:dyDescent="0.25">
      <c r="A123" s="4" t="s">
        <v>22</v>
      </c>
      <c r="B123" s="118">
        <v>0.06</v>
      </c>
    </row>
    <row r="124" spans="1:8" ht="24" customHeight="1" x14ac:dyDescent="0.25">
      <c r="A124" s="4" t="s">
        <v>23</v>
      </c>
      <c r="B124" s="16">
        <v>1.4999999999999999E-2</v>
      </c>
    </row>
    <row r="125" spans="1:8" ht="24" customHeight="1" x14ac:dyDescent="0.25">
      <c r="A125" s="4" t="s">
        <v>24</v>
      </c>
      <c r="B125" s="16">
        <v>0.01</v>
      </c>
    </row>
    <row r="126" spans="1:8" ht="24" customHeight="1" x14ac:dyDescent="0.25">
      <c r="A126" s="4" t="s">
        <v>25</v>
      </c>
      <c r="B126" s="16">
        <v>6.0000000000000001E-3</v>
      </c>
    </row>
    <row r="127" spans="1:8" ht="24" customHeight="1" x14ac:dyDescent="0.25">
      <c r="A127" s="4" t="s">
        <v>26</v>
      </c>
      <c r="B127" s="16">
        <v>2E-3</v>
      </c>
    </row>
    <row r="128" spans="1:8" ht="24" customHeight="1" thickBot="1" x14ac:dyDescent="0.3">
      <c r="A128" s="2" t="s">
        <v>27</v>
      </c>
      <c r="B128" s="18">
        <v>0.08</v>
      </c>
    </row>
    <row r="129" spans="1:4" ht="24" customHeight="1" thickBot="1" x14ac:dyDescent="0.3">
      <c r="A129" s="124" t="s">
        <v>28</v>
      </c>
      <c r="B129" s="125">
        <f>SUM(B121:B128)</f>
        <v>0.39800000000000008</v>
      </c>
    </row>
    <row r="130" spans="1:4" ht="24" customHeight="1" thickBot="1" x14ac:dyDescent="0.3"/>
    <row r="131" spans="1:4" ht="24" customHeight="1" thickBot="1" x14ac:dyDescent="0.3">
      <c r="A131" s="353" t="s">
        <v>29</v>
      </c>
      <c r="B131" s="354"/>
      <c r="C131" s="354"/>
      <c r="D131" s="355"/>
    </row>
    <row r="132" spans="1:4" ht="24" customHeight="1" thickBot="1" x14ac:dyDescent="0.3">
      <c r="A132" s="12" t="s">
        <v>3</v>
      </c>
      <c r="B132" s="13" t="s">
        <v>1</v>
      </c>
      <c r="C132" s="13" t="s">
        <v>2</v>
      </c>
      <c r="D132" s="14" t="s">
        <v>4</v>
      </c>
    </row>
    <row r="133" spans="1:4" ht="24" customHeight="1" x14ac:dyDescent="0.25">
      <c r="A133" s="3" t="s">
        <v>234</v>
      </c>
      <c r="B133" s="5">
        <f t="shared" ref="B133:B138" si="26">H69+E109</f>
        <v>2729.1226263888889</v>
      </c>
      <c r="C133" s="126">
        <f>SUM($B$121:$B$127)</f>
        <v>0.31800000000000006</v>
      </c>
      <c r="D133" s="7">
        <f>B133*C133</f>
        <v>867.8609951916668</v>
      </c>
    </row>
    <row r="134" spans="1:4" ht="24" customHeight="1" thickBot="1" x14ac:dyDescent="0.3">
      <c r="A134" s="4" t="s">
        <v>237</v>
      </c>
      <c r="B134" s="6">
        <f t="shared" si="26"/>
        <v>3183.9763974537036</v>
      </c>
      <c r="C134" s="127">
        <f t="shared" ref="C134:C138" si="27">SUM($B$121:$B$127)</f>
        <v>0.31800000000000006</v>
      </c>
      <c r="D134" s="8">
        <f t="shared" ref="D134:D138" si="28">B134*C134</f>
        <v>1012.504494390278</v>
      </c>
    </row>
    <row r="135" spans="1:4" ht="24" customHeight="1" x14ac:dyDescent="0.25">
      <c r="A135" s="3" t="s">
        <v>259</v>
      </c>
      <c r="B135" s="5">
        <f t="shared" si="26"/>
        <v>2977.6525930555558</v>
      </c>
      <c r="C135" s="126">
        <f>SUM($B$121:$B$127)</f>
        <v>0.31800000000000006</v>
      </c>
      <c r="D135" s="7">
        <f>B135*C135</f>
        <v>946.89352459166696</v>
      </c>
    </row>
    <row r="136" spans="1:4" ht="24" customHeight="1" thickBot="1" x14ac:dyDescent="0.3">
      <c r="A136" s="2" t="s">
        <v>363</v>
      </c>
      <c r="B136" s="6">
        <f t="shared" si="26"/>
        <v>3400.7723800925928</v>
      </c>
      <c r="C136" s="127">
        <f t="shared" si="27"/>
        <v>0.31800000000000006</v>
      </c>
      <c r="D136" s="8">
        <f t="shared" ref="D136" si="29">B136*C136</f>
        <v>1081.4456168694446</v>
      </c>
    </row>
    <row r="137" spans="1:4" ht="24" customHeight="1" x14ac:dyDescent="0.25">
      <c r="A137" s="3" t="s">
        <v>132</v>
      </c>
      <c r="B137" s="5">
        <f t="shared" si="26"/>
        <v>2977.6525930555558</v>
      </c>
      <c r="C137" s="126">
        <f t="shared" si="27"/>
        <v>0.31800000000000006</v>
      </c>
      <c r="D137" s="7">
        <f t="shared" si="28"/>
        <v>946.89352459166696</v>
      </c>
    </row>
    <row r="138" spans="1:4" ht="24" customHeight="1" thickBot="1" x14ac:dyDescent="0.3">
      <c r="A138" s="2" t="s">
        <v>133</v>
      </c>
      <c r="B138" s="65">
        <f t="shared" si="26"/>
        <v>3432.5063641203706</v>
      </c>
      <c r="C138" s="128">
        <f t="shared" si="27"/>
        <v>0.31800000000000006</v>
      </c>
      <c r="D138" s="67">
        <f t="shared" si="28"/>
        <v>1091.537023790278</v>
      </c>
    </row>
    <row r="139" spans="1:4" ht="24" customHeight="1" thickBot="1" x14ac:dyDescent="0.3"/>
    <row r="140" spans="1:4" ht="24" customHeight="1" thickBot="1" x14ac:dyDescent="0.3">
      <c r="A140" s="353" t="s">
        <v>30</v>
      </c>
      <c r="B140" s="354"/>
      <c r="C140" s="354"/>
      <c r="D140" s="355"/>
    </row>
    <row r="141" spans="1:4" ht="24" customHeight="1" thickBot="1" x14ac:dyDescent="0.3">
      <c r="A141" s="12" t="s">
        <v>3</v>
      </c>
      <c r="B141" s="13" t="s">
        <v>1</v>
      </c>
      <c r="C141" s="13" t="s">
        <v>2</v>
      </c>
      <c r="D141" s="14" t="s">
        <v>4</v>
      </c>
    </row>
    <row r="142" spans="1:4" ht="24" customHeight="1" x14ac:dyDescent="0.25">
      <c r="A142" s="3" t="s">
        <v>234</v>
      </c>
      <c r="B142" s="5">
        <f t="shared" ref="B142:B147" si="30">H69+E109</f>
        <v>2729.1226263888889</v>
      </c>
      <c r="C142" s="81">
        <f>$B$128</f>
        <v>0.08</v>
      </c>
      <c r="D142" s="7">
        <f>B142*C142</f>
        <v>218.3298101111111</v>
      </c>
    </row>
    <row r="143" spans="1:4" ht="24" customHeight="1" thickBot="1" x14ac:dyDescent="0.3">
      <c r="A143" s="4" t="s">
        <v>237</v>
      </c>
      <c r="B143" s="6">
        <f t="shared" si="30"/>
        <v>3183.9763974537036</v>
      </c>
      <c r="C143" s="79">
        <f t="shared" ref="C143:C147" si="31">$B$128</f>
        <v>0.08</v>
      </c>
      <c r="D143" s="8">
        <f t="shared" ref="D143:D147" si="32">B143*C143</f>
        <v>254.71811179629628</v>
      </c>
    </row>
    <row r="144" spans="1:4" ht="24" customHeight="1" x14ac:dyDescent="0.25">
      <c r="A144" s="3" t="s">
        <v>259</v>
      </c>
      <c r="B144" s="5">
        <f t="shared" si="30"/>
        <v>2977.6525930555558</v>
      </c>
      <c r="C144" s="81">
        <f>$B$128</f>
        <v>0.08</v>
      </c>
      <c r="D144" s="7">
        <f>B144*C144</f>
        <v>238.21220744444446</v>
      </c>
    </row>
    <row r="145" spans="1:8" ht="24" customHeight="1" thickBot="1" x14ac:dyDescent="0.3">
      <c r="A145" s="2" t="s">
        <v>363</v>
      </c>
      <c r="B145" s="6">
        <f t="shared" si="30"/>
        <v>3400.7723800925928</v>
      </c>
      <c r="C145" s="79">
        <f t="shared" si="31"/>
        <v>0.08</v>
      </c>
      <c r="D145" s="8">
        <f t="shared" ref="D145" si="33">B145*C145</f>
        <v>272.06179040740744</v>
      </c>
    </row>
    <row r="146" spans="1:8" ht="24" customHeight="1" x14ac:dyDescent="0.25">
      <c r="A146" s="3" t="s">
        <v>235</v>
      </c>
      <c r="B146" s="5">
        <f t="shared" si="30"/>
        <v>2977.6525930555558</v>
      </c>
      <c r="C146" s="81">
        <f t="shared" si="31"/>
        <v>0.08</v>
      </c>
      <c r="D146" s="7">
        <f t="shared" si="32"/>
        <v>238.21220744444446</v>
      </c>
    </row>
    <row r="147" spans="1:8" ht="24" customHeight="1" thickBot="1" x14ac:dyDescent="0.3">
      <c r="A147" s="2" t="s">
        <v>236</v>
      </c>
      <c r="B147" s="65">
        <f t="shared" si="30"/>
        <v>3432.5063641203706</v>
      </c>
      <c r="C147" s="80">
        <f t="shared" si="31"/>
        <v>0.08</v>
      </c>
      <c r="D147" s="67">
        <f t="shared" si="32"/>
        <v>274.60050912962964</v>
      </c>
    </row>
    <row r="148" spans="1:8" ht="24" customHeight="1" thickBot="1" x14ac:dyDescent="0.3"/>
    <row r="149" spans="1:8" ht="24" customHeight="1" thickBot="1" x14ac:dyDescent="0.3">
      <c r="A149" s="353" t="s">
        <v>17</v>
      </c>
      <c r="B149" s="354"/>
      <c r="C149" s="354"/>
      <c r="D149" s="355"/>
    </row>
    <row r="150" spans="1:8" ht="24" customHeight="1" thickBot="1" x14ac:dyDescent="0.3">
      <c r="A150" s="12" t="s">
        <v>3</v>
      </c>
      <c r="B150" s="13" t="s">
        <v>31</v>
      </c>
      <c r="C150" s="13" t="s">
        <v>27</v>
      </c>
      <c r="D150" s="14" t="s">
        <v>12</v>
      </c>
    </row>
    <row r="151" spans="1:8" ht="24" customHeight="1" x14ac:dyDescent="0.25">
      <c r="A151" s="3" t="s">
        <v>234</v>
      </c>
      <c r="B151" s="5">
        <f t="shared" ref="B151:B156" si="34">D133</f>
        <v>867.8609951916668</v>
      </c>
      <c r="C151" s="5">
        <f t="shared" ref="C151:C156" si="35">D142</f>
        <v>218.3298101111111</v>
      </c>
      <c r="D151" s="7">
        <f>B151+C151</f>
        <v>1086.1908053027778</v>
      </c>
    </row>
    <row r="152" spans="1:8" ht="24" customHeight="1" thickBot="1" x14ac:dyDescent="0.3">
      <c r="A152" s="4" t="s">
        <v>237</v>
      </c>
      <c r="B152" s="6">
        <f t="shared" si="34"/>
        <v>1012.504494390278</v>
      </c>
      <c r="C152" s="6">
        <f t="shared" si="35"/>
        <v>254.71811179629628</v>
      </c>
      <c r="D152" s="8">
        <f t="shared" ref="D152:D156" si="36">B152+C152</f>
        <v>1267.2226061865742</v>
      </c>
    </row>
    <row r="153" spans="1:8" ht="24" customHeight="1" x14ac:dyDescent="0.25">
      <c r="A153" s="3" t="s">
        <v>259</v>
      </c>
      <c r="B153" s="5">
        <f t="shared" si="34"/>
        <v>946.89352459166696</v>
      </c>
      <c r="C153" s="5">
        <f t="shared" si="35"/>
        <v>238.21220744444446</v>
      </c>
      <c r="D153" s="7">
        <f>B153+C153</f>
        <v>1185.1057320361115</v>
      </c>
    </row>
    <row r="154" spans="1:8" ht="24" customHeight="1" thickBot="1" x14ac:dyDescent="0.3">
      <c r="A154" s="2" t="s">
        <v>363</v>
      </c>
      <c r="B154" s="6">
        <f t="shared" si="34"/>
        <v>1081.4456168694446</v>
      </c>
      <c r="C154" s="6">
        <f t="shared" si="35"/>
        <v>272.06179040740744</v>
      </c>
      <c r="D154" s="8">
        <f t="shared" ref="D154" si="37">B154+C154</f>
        <v>1353.5074072768521</v>
      </c>
    </row>
    <row r="155" spans="1:8" ht="24" customHeight="1" x14ac:dyDescent="0.25">
      <c r="A155" s="3" t="s">
        <v>235</v>
      </c>
      <c r="B155" s="5">
        <f t="shared" si="34"/>
        <v>946.89352459166696</v>
      </c>
      <c r="C155" s="5">
        <f t="shared" si="35"/>
        <v>238.21220744444446</v>
      </c>
      <c r="D155" s="7">
        <f t="shared" si="36"/>
        <v>1185.1057320361115</v>
      </c>
    </row>
    <row r="156" spans="1:8" ht="24" customHeight="1" thickBot="1" x14ac:dyDescent="0.3">
      <c r="A156" s="2" t="s">
        <v>236</v>
      </c>
      <c r="B156" s="65">
        <f t="shared" si="34"/>
        <v>1091.537023790278</v>
      </c>
      <c r="C156" s="65">
        <f t="shared" si="35"/>
        <v>274.60050912962964</v>
      </c>
      <c r="D156" s="67">
        <f t="shared" si="36"/>
        <v>1366.1375329199077</v>
      </c>
    </row>
    <row r="158" spans="1:8" ht="24" customHeight="1" x14ac:dyDescent="0.25">
      <c r="A158" s="356" t="s">
        <v>32</v>
      </c>
      <c r="B158" s="357"/>
      <c r="C158" s="357"/>
      <c r="D158" s="357"/>
      <c r="E158" s="357"/>
      <c r="F158" s="357"/>
      <c r="G158" s="357"/>
      <c r="H158" s="357"/>
    </row>
    <row r="160" spans="1:8" ht="24" customHeight="1" x14ac:dyDescent="0.25">
      <c r="A160" s="383" t="s">
        <v>357</v>
      </c>
      <c r="B160" s="383"/>
      <c r="C160" s="383"/>
      <c r="D160" s="383"/>
      <c r="E160" s="383"/>
      <c r="G160" s="90"/>
    </row>
    <row r="161" spans="1:5" ht="24" customHeight="1" thickBot="1" x14ac:dyDescent="0.3"/>
    <row r="162" spans="1:5" ht="24" customHeight="1" thickBot="1" x14ac:dyDescent="0.3">
      <c r="A162" s="345" t="s">
        <v>37</v>
      </c>
      <c r="B162" s="346"/>
      <c r="C162" s="346"/>
      <c r="D162" s="346"/>
      <c r="E162" s="347"/>
    </row>
    <row r="163" spans="1:5" ht="32.25" thickBot="1" x14ac:dyDescent="0.3">
      <c r="A163" s="12" t="s">
        <v>3</v>
      </c>
      <c r="B163" s="13" t="s">
        <v>33</v>
      </c>
      <c r="C163" s="13" t="s">
        <v>34</v>
      </c>
      <c r="D163" s="15" t="s">
        <v>36</v>
      </c>
      <c r="E163" s="14" t="s">
        <v>35</v>
      </c>
    </row>
    <row r="164" spans="1:5" ht="24" customHeight="1" x14ac:dyDescent="0.25">
      <c r="A164" s="3" t="s">
        <v>234</v>
      </c>
      <c r="B164" s="5">
        <v>4</v>
      </c>
      <c r="C164" s="19">
        <v>2</v>
      </c>
      <c r="D164" s="19">
        <v>15</v>
      </c>
      <c r="E164" s="7">
        <f t="shared" ref="E164:E169" si="38">B164*C164*D164</f>
        <v>120</v>
      </c>
    </row>
    <row r="165" spans="1:5" ht="24" customHeight="1" thickBot="1" x14ac:dyDescent="0.3">
      <c r="A165" s="4" t="s">
        <v>237</v>
      </c>
      <c r="B165" s="6">
        <f>B164</f>
        <v>4</v>
      </c>
      <c r="C165" s="20">
        <f t="shared" ref="C165:C167" si="39">C164</f>
        <v>2</v>
      </c>
      <c r="D165" s="20">
        <v>15</v>
      </c>
      <c r="E165" s="8">
        <f t="shared" si="38"/>
        <v>120</v>
      </c>
    </row>
    <row r="166" spans="1:5" ht="24" customHeight="1" x14ac:dyDescent="0.25">
      <c r="A166" s="3" t="s">
        <v>259</v>
      </c>
      <c r="B166" s="5">
        <f>B164</f>
        <v>4</v>
      </c>
      <c r="C166" s="19">
        <v>2</v>
      </c>
      <c r="D166" s="19">
        <v>15</v>
      </c>
      <c r="E166" s="7">
        <f t="shared" ref="E166:E167" si="40">B166*C166*D166</f>
        <v>120</v>
      </c>
    </row>
    <row r="167" spans="1:5" ht="24" customHeight="1" thickBot="1" x14ac:dyDescent="0.3">
      <c r="A167" s="2" t="s">
        <v>363</v>
      </c>
      <c r="B167" s="6">
        <f>B165</f>
        <v>4</v>
      </c>
      <c r="C167" s="20">
        <f t="shared" si="39"/>
        <v>2</v>
      </c>
      <c r="D167" s="20">
        <v>15</v>
      </c>
      <c r="E167" s="8">
        <f t="shared" si="40"/>
        <v>120</v>
      </c>
    </row>
    <row r="168" spans="1:5" ht="24" customHeight="1" x14ac:dyDescent="0.25">
      <c r="A168" s="3" t="s">
        <v>235</v>
      </c>
      <c r="B168" s="5">
        <f>B164</f>
        <v>4</v>
      </c>
      <c r="C168" s="19">
        <v>2</v>
      </c>
      <c r="D168" s="19">
        <v>15</v>
      </c>
      <c r="E168" s="7">
        <f t="shared" si="38"/>
        <v>120</v>
      </c>
    </row>
    <row r="169" spans="1:5" ht="24" customHeight="1" thickBot="1" x14ac:dyDescent="0.3">
      <c r="A169" s="2" t="s">
        <v>236</v>
      </c>
      <c r="B169" s="65">
        <f>B165</f>
        <v>4</v>
      </c>
      <c r="C169" s="21">
        <v>2</v>
      </c>
      <c r="D169" s="21">
        <v>15</v>
      </c>
      <c r="E169" s="67">
        <f t="shared" si="38"/>
        <v>120</v>
      </c>
    </row>
    <row r="170" spans="1:5" ht="24" customHeight="1" thickBot="1" x14ac:dyDescent="0.3"/>
    <row r="171" spans="1:5" ht="24" customHeight="1" thickBot="1" x14ac:dyDescent="0.3">
      <c r="A171" s="345" t="s">
        <v>41</v>
      </c>
      <c r="B171" s="346"/>
      <c r="C171" s="346"/>
      <c r="D171" s="346"/>
      <c r="E171" s="347"/>
    </row>
    <row r="172" spans="1:5" ht="24" customHeight="1" thickBot="1" x14ac:dyDescent="0.3">
      <c r="A172" s="12" t="s">
        <v>3</v>
      </c>
      <c r="B172" s="13" t="s">
        <v>1</v>
      </c>
      <c r="C172" s="13" t="s">
        <v>38</v>
      </c>
      <c r="D172" s="13" t="s">
        <v>2</v>
      </c>
      <c r="E172" s="14" t="s">
        <v>39</v>
      </c>
    </row>
    <row r="173" spans="1:5" ht="24" customHeight="1" x14ac:dyDescent="0.25">
      <c r="A173" s="3" t="s">
        <v>234</v>
      </c>
      <c r="B173" s="5">
        <f>B11</f>
        <v>1733.93</v>
      </c>
      <c r="C173" s="70">
        <v>0.5</v>
      </c>
      <c r="D173" s="70">
        <v>0.06</v>
      </c>
      <c r="E173" s="7">
        <f t="shared" ref="E173:E178" si="41">B173*C173*D173</f>
        <v>52.017899999999997</v>
      </c>
    </row>
    <row r="174" spans="1:5" ht="24" customHeight="1" thickBot="1" x14ac:dyDescent="0.3">
      <c r="A174" s="4" t="s">
        <v>237</v>
      </c>
      <c r="B174" s="6">
        <f>B11</f>
        <v>1733.93</v>
      </c>
      <c r="C174" s="71">
        <v>0.5</v>
      </c>
      <c r="D174" s="71">
        <v>0.06</v>
      </c>
      <c r="E174" s="8">
        <f t="shared" si="41"/>
        <v>52.017899999999997</v>
      </c>
    </row>
    <row r="175" spans="1:5" ht="24" customHeight="1" x14ac:dyDescent="0.25">
      <c r="A175" s="3" t="s">
        <v>259</v>
      </c>
      <c r="B175" s="5">
        <f>B11</f>
        <v>1733.93</v>
      </c>
      <c r="C175" s="70">
        <v>0.5</v>
      </c>
      <c r="D175" s="70">
        <v>0.06</v>
      </c>
      <c r="E175" s="7">
        <f t="shared" ref="E175:E176" si="42">B175*C175*D175</f>
        <v>52.017899999999997</v>
      </c>
    </row>
    <row r="176" spans="1:5" ht="24" customHeight="1" thickBot="1" x14ac:dyDescent="0.3">
      <c r="A176" s="2" t="s">
        <v>363</v>
      </c>
      <c r="B176" s="6">
        <f>B11</f>
        <v>1733.93</v>
      </c>
      <c r="C176" s="71">
        <v>0.5</v>
      </c>
      <c r="D176" s="71">
        <v>0.06</v>
      </c>
      <c r="E176" s="8">
        <f t="shared" si="42"/>
        <v>52.017899999999997</v>
      </c>
    </row>
    <row r="177" spans="1:7" ht="24" customHeight="1" x14ac:dyDescent="0.25">
      <c r="A177" s="3" t="s">
        <v>235</v>
      </c>
      <c r="B177" s="5">
        <f>B11</f>
        <v>1733.93</v>
      </c>
      <c r="C177" s="70">
        <v>0.5</v>
      </c>
      <c r="D177" s="70">
        <v>0.06</v>
      </c>
      <c r="E177" s="7">
        <f t="shared" si="41"/>
        <v>52.017899999999997</v>
      </c>
    </row>
    <row r="178" spans="1:7" ht="24" customHeight="1" thickBot="1" x14ac:dyDescent="0.3">
      <c r="A178" s="2" t="s">
        <v>236</v>
      </c>
      <c r="B178" s="65">
        <f>B11</f>
        <v>1733.93</v>
      </c>
      <c r="C178" s="72">
        <v>0.5</v>
      </c>
      <c r="D178" s="72">
        <v>0.06</v>
      </c>
      <c r="E178" s="67">
        <f t="shared" si="41"/>
        <v>52.017899999999997</v>
      </c>
    </row>
    <row r="179" spans="1:7" ht="24" customHeight="1" thickBot="1" x14ac:dyDescent="0.3"/>
    <row r="180" spans="1:7" ht="24" customHeight="1" thickBot="1" x14ac:dyDescent="0.3">
      <c r="A180" s="353" t="s">
        <v>43</v>
      </c>
      <c r="B180" s="354"/>
      <c r="C180" s="354"/>
      <c r="D180" s="355"/>
    </row>
    <row r="181" spans="1:7" ht="24" customHeight="1" thickBot="1" x14ac:dyDescent="0.3">
      <c r="A181" s="12" t="s">
        <v>3</v>
      </c>
      <c r="B181" s="13" t="s">
        <v>35</v>
      </c>
      <c r="C181" s="13" t="s">
        <v>40</v>
      </c>
      <c r="D181" s="14" t="s">
        <v>42</v>
      </c>
    </row>
    <row r="182" spans="1:7" ht="24" customHeight="1" x14ac:dyDescent="0.25">
      <c r="A182" s="3" t="s">
        <v>234</v>
      </c>
      <c r="B182" s="5">
        <f t="shared" ref="B182:B187" si="43">E164</f>
        <v>120</v>
      </c>
      <c r="C182" s="5">
        <f t="shared" ref="C182:C187" si="44">E173</f>
        <v>52.017899999999997</v>
      </c>
      <c r="D182" s="7">
        <f>B182-C182</f>
        <v>67.982100000000003</v>
      </c>
    </row>
    <row r="183" spans="1:7" ht="24" customHeight="1" thickBot="1" x14ac:dyDescent="0.3">
      <c r="A183" s="4" t="s">
        <v>237</v>
      </c>
      <c r="B183" s="6">
        <f t="shared" si="43"/>
        <v>120</v>
      </c>
      <c r="C183" s="6">
        <f t="shared" si="44"/>
        <v>52.017899999999997</v>
      </c>
      <c r="D183" s="8">
        <f t="shared" ref="D183:D187" si="45">B183-C183</f>
        <v>67.982100000000003</v>
      </c>
    </row>
    <row r="184" spans="1:7" ht="24" customHeight="1" x14ac:dyDescent="0.25">
      <c r="A184" s="3" t="s">
        <v>259</v>
      </c>
      <c r="B184" s="5">
        <f t="shared" si="43"/>
        <v>120</v>
      </c>
      <c r="C184" s="5">
        <f t="shared" si="44"/>
        <v>52.017899999999997</v>
      </c>
      <c r="D184" s="7">
        <f>B184-C184</f>
        <v>67.982100000000003</v>
      </c>
    </row>
    <row r="185" spans="1:7" ht="24" customHeight="1" thickBot="1" x14ac:dyDescent="0.3">
      <c r="A185" s="2" t="s">
        <v>363</v>
      </c>
      <c r="B185" s="6">
        <f t="shared" si="43"/>
        <v>120</v>
      </c>
      <c r="C185" s="6">
        <f t="shared" si="44"/>
        <v>52.017899999999997</v>
      </c>
      <c r="D185" s="8">
        <f t="shared" ref="D185" si="46">B185-C185</f>
        <v>67.982100000000003</v>
      </c>
    </row>
    <row r="186" spans="1:7" ht="24" customHeight="1" x14ac:dyDescent="0.25">
      <c r="A186" s="3" t="s">
        <v>235</v>
      </c>
      <c r="B186" s="5">
        <f t="shared" si="43"/>
        <v>120</v>
      </c>
      <c r="C186" s="5">
        <f t="shared" si="44"/>
        <v>52.017899999999997</v>
      </c>
      <c r="D186" s="7">
        <f t="shared" si="45"/>
        <v>67.982100000000003</v>
      </c>
    </row>
    <row r="187" spans="1:7" ht="24" customHeight="1" thickBot="1" x14ac:dyDescent="0.3">
      <c r="A187" s="2" t="s">
        <v>236</v>
      </c>
      <c r="B187" s="65">
        <f t="shared" si="43"/>
        <v>120</v>
      </c>
      <c r="C187" s="65">
        <f t="shared" si="44"/>
        <v>52.017899999999997</v>
      </c>
      <c r="D187" s="67">
        <f t="shared" si="45"/>
        <v>67.982100000000003</v>
      </c>
    </row>
    <row r="189" spans="1:7" ht="24" customHeight="1" x14ac:dyDescent="0.25">
      <c r="A189" s="383" t="s">
        <v>358</v>
      </c>
      <c r="B189" s="383"/>
      <c r="C189" s="383"/>
      <c r="D189" s="383"/>
      <c r="G189" s="90"/>
    </row>
    <row r="190" spans="1:7" ht="24" customHeight="1" thickBot="1" x14ac:dyDescent="0.3"/>
    <row r="191" spans="1:7" ht="24" customHeight="1" thickBot="1" x14ac:dyDescent="0.3">
      <c r="A191" s="353" t="s">
        <v>241</v>
      </c>
      <c r="B191" s="354"/>
      <c r="C191" s="354"/>
      <c r="D191" s="355"/>
    </row>
    <row r="192" spans="1:7" ht="32.450000000000003" customHeight="1" thickBot="1" x14ac:dyDescent="0.3">
      <c r="A192" s="37" t="s">
        <v>3</v>
      </c>
      <c r="B192" s="38" t="s">
        <v>44</v>
      </c>
      <c r="C192" s="11" t="s">
        <v>36</v>
      </c>
      <c r="D192" s="39" t="s">
        <v>4</v>
      </c>
    </row>
    <row r="193" spans="1:4" ht="24" customHeight="1" x14ac:dyDescent="0.25">
      <c r="A193" s="247" t="s">
        <v>234</v>
      </c>
      <c r="B193" s="334">
        <v>32.619999999999997</v>
      </c>
      <c r="C193" s="249">
        <f t="shared" ref="C193:C198" si="47">D164</f>
        <v>15</v>
      </c>
      <c r="D193" s="7">
        <f>B193*C193</f>
        <v>489.29999999999995</v>
      </c>
    </row>
    <row r="194" spans="1:4" ht="24" customHeight="1" thickBot="1" x14ac:dyDescent="0.3">
      <c r="A194" s="252" t="s">
        <v>237</v>
      </c>
      <c r="B194" s="335">
        <f>B193</f>
        <v>32.619999999999997</v>
      </c>
      <c r="C194" s="250">
        <f t="shared" si="47"/>
        <v>15</v>
      </c>
      <c r="D194" s="8">
        <f t="shared" ref="D194:D198" si="48">B194*C194</f>
        <v>489.29999999999995</v>
      </c>
    </row>
    <row r="195" spans="1:4" ht="24" customHeight="1" x14ac:dyDescent="0.25">
      <c r="A195" s="247" t="s">
        <v>259</v>
      </c>
      <c r="B195" s="334">
        <f t="shared" ref="B195:B198" si="49">B194</f>
        <v>32.619999999999997</v>
      </c>
      <c r="C195" s="249">
        <f t="shared" si="47"/>
        <v>15</v>
      </c>
      <c r="D195" s="7">
        <f>B195*C195</f>
        <v>489.29999999999995</v>
      </c>
    </row>
    <row r="196" spans="1:4" ht="24" customHeight="1" thickBot="1" x14ac:dyDescent="0.3">
      <c r="A196" s="248" t="s">
        <v>363</v>
      </c>
      <c r="B196" s="335">
        <f t="shared" si="49"/>
        <v>32.619999999999997</v>
      </c>
      <c r="C196" s="250">
        <f t="shared" si="47"/>
        <v>15</v>
      </c>
      <c r="D196" s="8">
        <f t="shared" ref="D196" si="50">B196*C196</f>
        <v>489.29999999999995</v>
      </c>
    </row>
    <row r="197" spans="1:4" ht="24" customHeight="1" x14ac:dyDescent="0.25">
      <c r="A197" s="247" t="s">
        <v>235</v>
      </c>
      <c r="B197" s="334">
        <f t="shared" si="49"/>
        <v>32.619999999999997</v>
      </c>
      <c r="C197" s="249">
        <f t="shared" si="47"/>
        <v>15</v>
      </c>
      <c r="D197" s="7">
        <f t="shared" si="48"/>
        <v>489.29999999999995</v>
      </c>
    </row>
    <row r="198" spans="1:4" ht="24" customHeight="1" thickBot="1" x14ac:dyDescent="0.3">
      <c r="A198" s="248" t="s">
        <v>236</v>
      </c>
      <c r="B198" s="335">
        <f t="shared" si="49"/>
        <v>32.619999999999997</v>
      </c>
      <c r="C198" s="251">
        <f t="shared" si="47"/>
        <v>15</v>
      </c>
      <c r="D198" s="67">
        <f t="shared" si="48"/>
        <v>489.29999999999995</v>
      </c>
    </row>
    <row r="199" spans="1:4" ht="24" customHeight="1" thickBot="1" x14ac:dyDescent="0.3"/>
    <row r="200" spans="1:4" ht="24" customHeight="1" thickBot="1" x14ac:dyDescent="0.3">
      <c r="A200" s="353" t="s">
        <v>45</v>
      </c>
      <c r="B200" s="354"/>
      <c r="C200" s="354"/>
      <c r="D200" s="355"/>
    </row>
    <row r="201" spans="1:4" ht="24" customHeight="1" thickBot="1" x14ac:dyDescent="0.3">
      <c r="A201" s="12" t="s">
        <v>3</v>
      </c>
      <c r="B201" s="13" t="s">
        <v>1</v>
      </c>
      <c r="C201" s="13" t="s">
        <v>2</v>
      </c>
      <c r="D201" s="14" t="s">
        <v>39</v>
      </c>
    </row>
    <row r="202" spans="1:4" ht="24" customHeight="1" x14ac:dyDescent="0.25">
      <c r="A202" s="3" t="s">
        <v>234</v>
      </c>
      <c r="B202" s="5">
        <f>$B$11</f>
        <v>1733.93</v>
      </c>
      <c r="C202" s="70">
        <v>0.01</v>
      </c>
      <c r="D202" s="7">
        <f>B202*C202</f>
        <v>17.339300000000001</v>
      </c>
    </row>
    <row r="203" spans="1:4" ht="24" customHeight="1" thickBot="1" x14ac:dyDescent="0.3">
      <c r="A203" s="73" t="s">
        <v>237</v>
      </c>
      <c r="B203" s="74">
        <f>$B$11</f>
        <v>1733.93</v>
      </c>
      <c r="C203" s="75">
        <v>0.01</v>
      </c>
      <c r="D203" s="78">
        <f t="shared" ref="D203:D207" si="51">B203*C203</f>
        <v>17.339300000000001</v>
      </c>
    </row>
    <row r="204" spans="1:4" ht="24" customHeight="1" x14ac:dyDescent="0.25">
      <c r="A204" s="3" t="s">
        <v>259</v>
      </c>
      <c r="B204" s="5">
        <f>$B$11</f>
        <v>1733.93</v>
      </c>
      <c r="C204" s="70">
        <v>0.01</v>
      </c>
      <c r="D204" s="7">
        <f>B204*C204</f>
        <v>17.339300000000001</v>
      </c>
    </row>
    <row r="205" spans="1:4" ht="24" customHeight="1" thickBot="1" x14ac:dyDescent="0.3">
      <c r="A205" s="2" t="s">
        <v>363</v>
      </c>
      <c r="B205" s="74">
        <f>$B$11</f>
        <v>1733.93</v>
      </c>
      <c r="C205" s="75">
        <v>0.01</v>
      </c>
      <c r="D205" s="78">
        <f t="shared" ref="D205" si="52">B205*C205</f>
        <v>17.339300000000001</v>
      </c>
    </row>
    <row r="206" spans="1:4" ht="24" customHeight="1" x14ac:dyDescent="0.25">
      <c r="A206" s="3" t="s">
        <v>235</v>
      </c>
      <c r="B206" s="5">
        <f>$B$12</f>
        <v>1733.93</v>
      </c>
      <c r="C206" s="70">
        <v>0.01</v>
      </c>
      <c r="D206" s="7">
        <f t="shared" si="51"/>
        <v>17.339300000000001</v>
      </c>
    </row>
    <row r="207" spans="1:4" ht="24" customHeight="1" thickBot="1" x14ac:dyDescent="0.3">
      <c r="A207" s="2" t="s">
        <v>236</v>
      </c>
      <c r="B207" s="65">
        <f>B206</f>
        <v>1733.93</v>
      </c>
      <c r="C207" s="72">
        <v>0.01</v>
      </c>
      <c r="D207" s="67">
        <f t="shared" si="51"/>
        <v>17.339300000000001</v>
      </c>
    </row>
    <row r="208" spans="1:4" ht="24" customHeight="1" thickBot="1" x14ac:dyDescent="0.3"/>
    <row r="209" spans="1:4" ht="24" customHeight="1" thickBot="1" x14ac:dyDescent="0.3">
      <c r="A209" s="353" t="s">
        <v>46</v>
      </c>
      <c r="B209" s="354"/>
      <c r="C209" s="354"/>
      <c r="D209" s="355"/>
    </row>
    <row r="210" spans="1:4" ht="24" customHeight="1" thickBot="1" x14ac:dyDescent="0.3">
      <c r="A210" s="12" t="s">
        <v>3</v>
      </c>
      <c r="B210" s="13" t="s">
        <v>35</v>
      </c>
      <c r="C210" s="13" t="s">
        <v>39</v>
      </c>
      <c r="D210" s="14" t="s">
        <v>42</v>
      </c>
    </row>
    <row r="211" spans="1:4" ht="24" customHeight="1" x14ac:dyDescent="0.25">
      <c r="A211" s="3" t="s">
        <v>234</v>
      </c>
      <c r="B211" s="5">
        <f t="shared" ref="B211:B216" si="53">D193</f>
        <v>489.29999999999995</v>
      </c>
      <c r="C211" s="5">
        <f t="shared" ref="C211:C216" si="54">D202</f>
        <v>17.339300000000001</v>
      </c>
      <c r="D211" s="7">
        <f>B211-C211</f>
        <v>471.96069999999997</v>
      </c>
    </row>
    <row r="212" spans="1:4" ht="24" customHeight="1" thickBot="1" x14ac:dyDescent="0.3">
      <c r="A212" s="4" t="s">
        <v>237</v>
      </c>
      <c r="B212" s="6">
        <f t="shared" si="53"/>
        <v>489.29999999999995</v>
      </c>
      <c r="C212" s="6">
        <f t="shared" si="54"/>
        <v>17.339300000000001</v>
      </c>
      <c r="D212" s="8">
        <f t="shared" ref="D212:D216" si="55">B212-C212</f>
        <v>471.96069999999997</v>
      </c>
    </row>
    <row r="213" spans="1:4" ht="24" customHeight="1" x14ac:dyDescent="0.25">
      <c r="A213" s="3" t="s">
        <v>259</v>
      </c>
      <c r="B213" s="5">
        <f t="shared" si="53"/>
        <v>489.29999999999995</v>
      </c>
      <c r="C213" s="5">
        <f t="shared" si="54"/>
        <v>17.339300000000001</v>
      </c>
      <c r="D213" s="7">
        <f>B213-C213</f>
        <v>471.96069999999997</v>
      </c>
    </row>
    <row r="214" spans="1:4" ht="24" customHeight="1" thickBot="1" x14ac:dyDescent="0.3">
      <c r="A214" s="2" t="s">
        <v>363</v>
      </c>
      <c r="B214" s="6">
        <f t="shared" si="53"/>
        <v>489.29999999999995</v>
      </c>
      <c r="C214" s="6">
        <f t="shared" si="54"/>
        <v>17.339300000000001</v>
      </c>
      <c r="D214" s="8">
        <f t="shared" ref="D214" si="56">B214-C214</f>
        <v>471.96069999999997</v>
      </c>
    </row>
    <row r="215" spans="1:4" ht="24" customHeight="1" x14ac:dyDescent="0.25">
      <c r="A215" s="3" t="s">
        <v>235</v>
      </c>
      <c r="B215" s="5">
        <f t="shared" si="53"/>
        <v>489.29999999999995</v>
      </c>
      <c r="C215" s="5">
        <f t="shared" si="54"/>
        <v>17.339300000000001</v>
      </c>
      <c r="D215" s="7">
        <f t="shared" si="55"/>
        <v>471.96069999999997</v>
      </c>
    </row>
    <row r="216" spans="1:4" ht="24" customHeight="1" thickBot="1" x14ac:dyDescent="0.3">
      <c r="A216" s="2" t="s">
        <v>236</v>
      </c>
      <c r="B216" s="65">
        <f t="shared" si="53"/>
        <v>489.29999999999995</v>
      </c>
      <c r="C216" s="65">
        <f t="shared" si="54"/>
        <v>17.339300000000001</v>
      </c>
      <c r="D216" s="67">
        <f t="shared" si="55"/>
        <v>471.96069999999997</v>
      </c>
    </row>
    <row r="217" spans="1:4" ht="24" customHeight="1" thickBot="1" x14ac:dyDescent="0.3"/>
    <row r="218" spans="1:4" ht="24" customHeight="1" thickBot="1" x14ac:dyDescent="0.3">
      <c r="A218" s="353" t="s">
        <v>359</v>
      </c>
      <c r="B218" s="354"/>
      <c r="C218" s="354"/>
      <c r="D218" s="355"/>
    </row>
    <row r="219" spans="1:4" ht="24" customHeight="1" thickBot="1" x14ac:dyDescent="0.3">
      <c r="A219" s="379"/>
      <c r="B219" s="379"/>
      <c r="C219" s="379"/>
      <c r="D219" s="379"/>
    </row>
    <row r="220" spans="1:4" ht="37.9" customHeight="1" thickBot="1" x14ac:dyDescent="0.3">
      <c r="A220" s="348" t="s">
        <v>266</v>
      </c>
      <c r="B220" s="349"/>
      <c r="C220" s="349"/>
      <c r="D220" s="350"/>
    </row>
    <row r="221" spans="1:4" ht="24" customHeight="1" thickBot="1" x14ac:dyDescent="0.3">
      <c r="A221" s="12" t="s">
        <v>3</v>
      </c>
      <c r="B221" s="13"/>
      <c r="C221" s="13"/>
      <c r="D221" s="14"/>
    </row>
    <row r="222" spans="1:4" ht="24" customHeight="1" x14ac:dyDescent="0.25">
      <c r="A222" s="3" t="s">
        <v>234</v>
      </c>
      <c r="B222" s="5"/>
      <c r="C222" s="5"/>
      <c r="D222" s="336">
        <v>83.88</v>
      </c>
    </row>
    <row r="223" spans="1:4" ht="24" customHeight="1" thickBot="1" x14ac:dyDescent="0.3">
      <c r="A223" s="2" t="s">
        <v>237</v>
      </c>
      <c r="B223" s="65"/>
      <c r="C223" s="65"/>
      <c r="D223" s="337">
        <f>D222</f>
        <v>83.88</v>
      </c>
    </row>
    <row r="224" spans="1:4" ht="24" customHeight="1" x14ac:dyDescent="0.25">
      <c r="A224" s="3" t="s">
        <v>259</v>
      </c>
      <c r="B224" s="5"/>
      <c r="C224" s="5"/>
      <c r="D224" s="336">
        <f>D222</f>
        <v>83.88</v>
      </c>
    </row>
    <row r="225" spans="1:8" ht="24" customHeight="1" thickBot="1" x14ac:dyDescent="0.3">
      <c r="A225" s="2" t="s">
        <v>363</v>
      </c>
      <c r="B225" s="65"/>
      <c r="C225" s="65"/>
      <c r="D225" s="337">
        <f>D223</f>
        <v>83.88</v>
      </c>
    </row>
    <row r="226" spans="1:8" ht="24" customHeight="1" x14ac:dyDescent="0.25">
      <c r="A226" s="3" t="s">
        <v>235</v>
      </c>
      <c r="B226" s="5"/>
      <c r="C226" s="5"/>
      <c r="D226" s="336">
        <f>D222</f>
        <v>83.88</v>
      </c>
    </row>
    <row r="227" spans="1:8" ht="24" customHeight="1" thickBot="1" x14ac:dyDescent="0.3">
      <c r="A227" s="2" t="s">
        <v>236</v>
      </c>
      <c r="B227" s="65"/>
      <c r="C227" s="65"/>
      <c r="D227" s="337">
        <f>D223</f>
        <v>83.88</v>
      </c>
    </row>
    <row r="228" spans="1:8" ht="24" customHeight="1" thickBot="1" x14ac:dyDescent="0.3"/>
    <row r="229" spans="1:8" ht="16.5" thickBot="1" x14ac:dyDescent="0.3">
      <c r="A229" s="348" t="s">
        <v>258</v>
      </c>
      <c r="B229" s="346"/>
      <c r="C229" s="346"/>
      <c r="D229" s="347"/>
      <c r="E229" s="168"/>
      <c r="F229" s="168"/>
      <c r="G229" s="168"/>
      <c r="H229" s="168"/>
    </row>
    <row r="230" spans="1:8" ht="24" customHeight="1" thickBot="1" x14ac:dyDescent="0.3"/>
    <row r="231" spans="1:8" ht="24" customHeight="1" thickBot="1" x14ac:dyDescent="0.3">
      <c r="A231" s="353" t="s">
        <v>222</v>
      </c>
      <c r="B231" s="354"/>
      <c r="C231" s="354"/>
      <c r="D231" s="355"/>
    </row>
    <row r="232" spans="1:8" ht="24" customHeight="1" thickBot="1" x14ac:dyDescent="0.3">
      <c r="A232" s="12" t="s">
        <v>3</v>
      </c>
      <c r="B232" s="13"/>
      <c r="C232" s="13"/>
      <c r="D232" s="14"/>
    </row>
    <row r="233" spans="1:8" ht="24" customHeight="1" x14ac:dyDescent="0.25">
      <c r="A233" s="3" t="s">
        <v>234</v>
      </c>
      <c r="B233" s="5"/>
      <c r="C233" s="5"/>
      <c r="D233" s="7"/>
    </row>
    <row r="234" spans="1:8" ht="24" customHeight="1" thickBot="1" x14ac:dyDescent="0.3">
      <c r="A234" s="4" t="s">
        <v>237</v>
      </c>
      <c r="B234" s="6"/>
      <c r="C234" s="6"/>
      <c r="D234" s="8"/>
    </row>
    <row r="235" spans="1:8" ht="24" customHeight="1" x14ac:dyDescent="0.25">
      <c r="A235" s="3" t="s">
        <v>259</v>
      </c>
      <c r="B235" s="5"/>
      <c r="C235" s="5"/>
      <c r="D235" s="7"/>
    </row>
    <row r="236" spans="1:8" ht="24" customHeight="1" thickBot="1" x14ac:dyDescent="0.3">
      <c r="A236" s="2" t="s">
        <v>363</v>
      </c>
      <c r="B236" s="6"/>
      <c r="C236" s="6"/>
      <c r="D236" s="8"/>
    </row>
    <row r="237" spans="1:8" ht="24" customHeight="1" x14ac:dyDescent="0.25">
      <c r="A237" s="3" t="s">
        <v>235</v>
      </c>
      <c r="B237" s="5"/>
      <c r="C237" s="5"/>
      <c r="D237" s="7"/>
    </row>
    <row r="238" spans="1:8" ht="24" customHeight="1" thickBot="1" x14ac:dyDescent="0.3">
      <c r="A238" s="2" t="s">
        <v>236</v>
      </c>
      <c r="B238" s="65"/>
      <c r="C238" s="65"/>
      <c r="D238" s="67"/>
    </row>
    <row r="239" spans="1:8" ht="24" customHeight="1" thickBot="1" x14ac:dyDescent="0.3"/>
    <row r="240" spans="1:8" ht="24" customHeight="1" thickBot="1" x14ac:dyDescent="0.3">
      <c r="A240" s="345" t="s">
        <v>32</v>
      </c>
      <c r="B240" s="346"/>
      <c r="C240" s="346"/>
      <c r="D240" s="346"/>
      <c r="E240" s="346"/>
      <c r="F240" s="347"/>
      <c r="G240" s="22"/>
    </row>
    <row r="241" spans="1:6" ht="48" thickBot="1" x14ac:dyDescent="0.3">
      <c r="A241" s="12" t="s">
        <v>3</v>
      </c>
      <c r="B241" s="15" t="s">
        <v>360</v>
      </c>
      <c r="C241" s="15" t="s">
        <v>361</v>
      </c>
      <c r="D241" s="148" t="s">
        <v>362</v>
      </c>
      <c r="E241" s="13" t="s">
        <v>223</v>
      </c>
      <c r="F241" s="14" t="s">
        <v>12</v>
      </c>
    </row>
    <row r="242" spans="1:6" ht="24" customHeight="1" x14ac:dyDescent="0.25">
      <c r="A242" s="3" t="s">
        <v>234</v>
      </c>
      <c r="B242" s="5">
        <f t="shared" ref="B242:B247" si="57">D182</f>
        <v>67.982100000000003</v>
      </c>
      <c r="C242" s="5">
        <f t="shared" ref="C242:C247" si="58">D211</f>
        <v>471.96069999999997</v>
      </c>
      <c r="D242" s="5">
        <f t="shared" ref="D242:D247" si="59">D222</f>
        <v>83.88</v>
      </c>
      <c r="E242" s="5">
        <f>D233</f>
        <v>0</v>
      </c>
      <c r="F242" s="7">
        <f>SUM(B242:E242)</f>
        <v>623.82280000000003</v>
      </c>
    </row>
    <row r="243" spans="1:6" ht="24" customHeight="1" thickBot="1" x14ac:dyDescent="0.3">
      <c r="A243" s="4" t="s">
        <v>237</v>
      </c>
      <c r="B243" s="6">
        <f t="shared" si="57"/>
        <v>67.982100000000003</v>
      </c>
      <c r="C243" s="6">
        <f t="shared" si="58"/>
        <v>471.96069999999997</v>
      </c>
      <c r="D243" s="6">
        <f t="shared" si="59"/>
        <v>83.88</v>
      </c>
      <c r="E243" s="6">
        <f>D234</f>
        <v>0</v>
      </c>
      <c r="F243" s="8">
        <f t="shared" ref="F243:F247" si="60">SUM(B243:E243)</f>
        <v>623.82280000000003</v>
      </c>
    </row>
    <row r="244" spans="1:6" ht="24" customHeight="1" x14ac:dyDescent="0.25">
      <c r="A244" s="3" t="s">
        <v>259</v>
      </c>
      <c r="B244" s="5">
        <f t="shared" si="57"/>
        <v>67.982100000000003</v>
      </c>
      <c r="C244" s="5">
        <f t="shared" si="58"/>
        <v>471.96069999999997</v>
      </c>
      <c r="D244" s="5">
        <f t="shared" si="59"/>
        <v>83.88</v>
      </c>
      <c r="E244" s="5">
        <f>D237</f>
        <v>0</v>
      </c>
      <c r="F244" s="7">
        <f>SUM(B244:E244)</f>
        <v>623.82280000000003</v>
      </c>
    </row>
    <row r="245" spans="1:6" ht="24" customHeight="1" thickBot="1" x14ac:dyDescent="0.3">
      <c r="A245" s="2" t="s">
        <v>363</v>
      </c>
      <c r="B245" s="6">
        <f t="shared" si="57"/>
        <v>67.982100000000003</v>
      </c>
      <c r="C245" s="6">
        <f t="shared" si="58"/>
        <v>471.96069999999997</v>
      </c>
      <c r="D245" s="6">
        <f t="shared" si="59"/>
        <v>83.88</v>
      </c>
      <c r="E245" s="6">
        <f>D238</f>
        <v>0</v>
      </c>
      <c r="F245" s="8">
        <f t="shared" ref="F245" si="61">SUM(B245:E245)</f>
        <v>623.82280000000003</v>
      </c>
    </row>
    <row r="246" spans="1:6" ht="24" customHeight="1" x14ac:dyDescent="0.25">
      <c r="A246" s="3" t="s">
        <v>235</v>
      </c>
      <c r="B246" s="5">
        <f t="shared" si="57"/>
        <v>67.982100000000003</v>
      </c>
      <c r="C246" s="5">
        <f t="shared" si="58"/>
        <v>471.96069999999997</v>
      </c>
      <c r="D246" s="5">
        <f t="shared" si="59"/>
        <v>83.88</v>
      </c>
      <c r="E246" s="5">
        <f>D237</f>
        <v>0</v>
      </c>
      <c r="F246" s="7">
        <f t="shared" si="60"/>
        <v>623.82280000000003</v>
      </c>
    </row>
    <row r="247" spans="1:6" ht="24" customHeight="1" thickBot="1" x14ac:dyDescent="0.3">
      <c r="A247" s="2" t="s">
        <v>236</v>
      </c>
      <c r="B247" s="65">
        <f t="shared" si="57"/>
        <v>67.982100000000003</v>
      </c>
      <c r="C247" s="65">
        <f t="shared" si="58"/>
        <v>471.96069999999997</v>
      </c>
      <c r="D247" s="65">
        <f t="shared" si="59"/>
        <v>83.88</v>
      </c>
      <c r="E247" s="65">
        <f>D238</f>
        <v>0</v>
      </c>
      <c r="F247" s="67">
        <f t="shared" si="60"/>
        <v>623.82280000000003</v>
      </c>
    </row>
    <row r="249" spans="1:6" ht="24" customHeight="1" x14ac:dyDescent="0.25">
      <c r="A249" s="351" t="s">
        <v>127</v>
      </c>
      <c r="B249" s="351"/>
      <c r="C249" s="351"/>
      <c r="D249" s="351"/>
      <c r="E249" s="351"/>
    </row>
    <row r="250" spans="1:6" ht="24" customHeight="1" thickBot="1" x14ac:dyDescent="0.3"/>
    <row r="251" spans="1:6" ht="24" customHeight="1" thickBot="1" x14ac:dyDescent="0.3">
      <c r="A251" s="345" t="s">
        <v>127</v>
      </c>
      <c r="B251" s="346"/>
      <c r="C251" s="346"/>
      <c r="D251" s="346"/>
      <c r="E251" s="347"/>
    </row>
    <row r="252" spans="1:6" ht="24" customHeight="1" thickBot="1" x14ac:dyDescent="0.3">
      <c r="A252" s="12" t="s">
        <v>3</v>
      </c>
      <c r="B252" s="13" t="s">
        <v>56</v>
      </c>
      <c r="C252" s="13" t="s">
        <v>57</v>
      </c>
      <c r="D252" s="13" t="s">
        <v>58</v>
      </c>
      <c r="E252" s="14" t="s">
        <v>12</v>
      </c>
    </row>
    <row r="253" spans="1:6" ht="24" customHeight="1" x14ac:dyDescent="0.25">
      <c r="A253" s="3" t="s">
        <v>234</v>
      </c>
      <c r="B253" s="5">
        <f t="shared" ref="B253:B258" si="62">E109</f>
        <v>444.27577638888886</v>
      </c>
      <c r="C253" s="5">
        <f t="shared" ref="C253:C258" si="63">D151</f>
        <v>1086.1908053027778</v>
      </c>
      <c r="D253" s="5">
        <f t="shared" ref="D253:D258" si="64">F242</f>
        <v>623.82280000000003</v>
      </c>
      <c r="E253" s="7">
        <f t="shared" ref="E253:E258" si="65">SUM(B253:D253)</f>
        <v>2154.2893816916667</v>
      </c>
    </row>
    <row r="254" spans="1:6" ht="24" customHeight="1" thickBot="1" x14ac:dyDescent="0.3">
      <c r="A254" s="73" t="s">
        <v>237</v>
      </c>
      <c r="B254" s="74">
        <f t="shared" si="62"/>
        <v>518.32173912037035</v>
      </c>
      <c r="C254" s="74">
        <f t="shared" si="63"/>
        <v>1267.2226061865742</v>
      </c>
      <c r="D254" s="74">
        <f t="shared" si="64"/>
        <v>623.82280000000003</v>
      </c>
      <c r="E254" s="78">
        <f t="shared" si="65"/>
        <v>2409.3671453069446</v>
      </c>
    </row>
    <row r="255" spans="1:6" ht="24" customHeight="1" x14ac:dyDescent="0.25">
      <c r="A255" s="3" t="s">
        <v>259</v>
      </c>
      <c r="B255" s="5">
        <f t="shared" si="62"/>
        <v>484.73414305555553</v>
      </c>
      <c r="C255" s="5">
        <f t="shared" si="63"/>
        <v>1185.1057320361115</v>
      </c>
      <c r="D255" s="5">
        <f t="shared" si="64"/>
        <v>623.82280000000003</v>
      </c>
      <c r="E255" s="7">
        <f t="shared" ref="E255:E256" si="66">SUM(B255:D255)</f>
        <v>2293.6626750916671</v>
      </c>
    </row>
    <row r="256" spans="1:6" ht="24" customHeight="1" thickBot="1" x14ac:dyDescent="0.3">
      <c r="A256" s="2" t="s">
        <v>363</v>
      </c>
      <c r="B256" s="74">
        <f t="shared" si="62"/>
        <v>527.04612175925922</v>
      </c>
      <c r="C256" s="74">
        <f t="shared" si="63"/>
        <v>1353.5074072768521</v>
      </c>
      <c r="D256" s="74">
        <f t="shared" si="64"/>
        <v>623.82280000000003</v>
      </c>
      <c r="E256" s="78">
        <f t="shared" si="66"/>
        <v>2504.3763290361112</v>
      </c>
    </row>
    <row r="257" spans="1:8" ht="24" customHeight="1" x14ac:dyDescent="0.25">
      <c r="A257" s="3" t="s">
        <v>235</v>
      </c>
      <c r="B257" s="5">
        <f t="shared" si="62"/>
        <v>484.73414305555553</v>
      </c>
      <c r="C257" s="5">
        <f t="shared" si="63"/>
        <v>1185.1057320361115</v>
      </c>
      <c r="D257" s="5">
        <f t="shared" si="64"/>
        <v>623.82280000000003</v>
      </c>
      <c r="E257" s="7">
        <f t="shared" si="65"/>
        <v>2293.6626750916671</v>
      </c>
    </row>
    <row r="258" spans="1:8" ht="24" customHeight="1" thickBot="1" x14ac:dyDescent="0.3">
      <c r="A258" s="2" t="s">
        <v>236</v>
      </c>
      <c r="B258" s="65">
        <f t="shared" si="62"/>
        <v>558.78010578703709</v>
      </c>
      <c r="C258" s="65">
        <f t="shared" si="63"/>
        <v>1366.1375329199077</v>
      </c>
      <c r="D258" s="65">
        <f t="shared" si="64"/>
        <v>623.82280000000003</v>
      </c>
      <c r="E258" s="67">
        <f t="shared" si="65"/>
        <v>2548.7404387069446</v>
      </c>
    </row>
    <row r="260" spans="1:8" ht="24" customHeight="1" x14ac:dyDescent="0.25">
      <c r="A260" s="351" t="s">
        <v>47</v>
      </c>
      <c r="B260" s="351"/>
      <c r="C260" s="351"/>
      <c r="D260" s="351"/>
      <c r="E260" s="351"/>
      <c r="F260" s="351"/>
      <c r="G260" s="351"/>
      <c r="H260" s="351"/>
    </row>
    <row r="261" spans="1:8" ht="24" customHeight="1" thickBot="1" x14ac:dyDescent="0.3"/>
    <row r="262" spans="1:8" ht="34.15" customHeight="1" thickBot="1" x14ac:dyDescent="0.3">
      <c r="A262" s="384" t="s">
        <v>48</v>
      </c>
      <c r="B262" s="385"/>
    </row>
    <row r="263" spans="1:8" ht="24" customHeight="1" thickBot="1" x14ac:dyDescent="0.3">
      <c r="A263" s="34" t="s">
        <v>49</v>
      </c>
      <c r="B263" s="36" t="s">
        <v>2</v>
      </c>
    </row>
    <row r="264" spans="1:8" ht="29.25" customHeight="1" x14ac:dyDescent="0.25">
      <c r="A264" s="26" t="s">
        <v>50</v>
      </c>
      <c r="B264" s="60"/>
    </row>
    <row r="265" spans="1:8" ht="30" customHeight="1" x14ac:dyDescent="0.25">
      <c r="A265" s="93" t="s">
        <v>51</v>
      </c>
      <c r="B265" s="94">
        <v>4.1999999999999997E-3</v>
      </c>
    </row>
    <row r="266" spans="1:8" ht="27.75" customHeight="1" x14ac:dyDescent="0.25">
      <c r="A266" s="93" t="s">
        <v>52</v>
      </c>
      <c r="B266" s="94">
        <v>1.9400000000000001E-2</v>
      </c>
    </row>
    <row r="267" spans="1:8" ht="29.25" customHeight="1" x14ac:dyDescent="0.25">
      <c r="A267" s="23" t="s">
        <v>53</v>
      </c>
      <c r="B267" s="61">
        <v>0</v>
      </c>
    </row>
    <row r="268" spans="1:8" ht="29.25" customHeight="1" thickBot="1" x14ac:dyDescent="0.3">
      <c r="A268" s="24" t="s">
        <v>54</v>
      </c>
      <c r="B268" s="62">
        <v>0</v>
      </c>
    </row>
    <row r="269" spans="1:8" ht="24" customHeight="1" thickBot="1" x14ac:dyDescent="0.3">
      <c r="A269" s="34" t="s">
        <v>28</v>
      </c>
      <c r="B269" s="25">
        <f>SUM(B265:B268)</f>
        <v>2.3599999999999999E-2</v>
      </c>
      <c r="H269" s="90"/>
    </row>
    <row r="271" spans="1:8" ht="24" customHeight="1" x14ac:dyDescent="0.25">
      <c r="A271" s="356" t="s">
        <v>55</v>
      </c>
      <c r="B271" s="357"/>
      <c r="C271" s="357"/>
      <c r="D271" s="357"/>
      <c r="E271" s="357"/>
      <c r="F271" s="357"/>
      <c r="G271" s="357"/>
      <c r="H271" s="357"/>
    </row>
    <row r="272" spans="1:8" ht="24" customHeight="1" thickBot="1" x14ac:dyDescent="0.3"/>
    <row r="273" spans="1:41" customFormat="1" ht="24" customHeight="1" thickBot="1" x14ac:dyDescent="0.3">
      <c r="A273" s="380" t="s">
        <v>242</v>
      </c>
      <c r="B273" s="381"/>
      <c r="C273" s="381"/>
      <c r="D273" s="382"/>
      <c r="E273" s="90"/>
      <c r="F273" s="90"/>
      <c r="G273" s="90"/>
      <c r="H273" s="90"/>
      <c r="I273" s="90"/>
      <c r="J273" s="90"/>
      <c r="K273" s="90"/>
      <c r="L273" s="90"/>
      <c r="M273" s="29"/>
      <c r="N273" s="29"/>
      <c r="O273" s="29"/>
      <c r="P273" s="29"/>
      <c r="Q273" s="29"/>
      <c r="R273" s="29"/>
      <c r="S273" s="29"/>
      <c r="T273" s="29"/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F273" s="29"/>
      <c r="AG273" s="29"/>
      <c r="AH273" s="29"/>
      <c r="AI273" s="29"/>
      <c r="AJ273" s="29"/>
      <c r="AK273" s="29"/>
      <c r="AL273" s="29"/>
      <c r="AM273" s="29"/>
      <c r="AN273" s="29"/>
      <c r="AO273" s="29"/>
    </row>
    <row r="274" spans="1:41" customFormat="1" ht="24" customHeight="1" thickBot="1" x14ac:dyDescent="0.3">
      <c r="A274" s="169" t="s">
        <v>3</v>
      </c>
      <c r="B274" s="170" t="s">
        <v>1</v>
      </c>
      <c r="C274" s="171" t="s">
        <v>243</v>
      </c>
      <c r="D274" s="172" t="s">
        <v>12</v>
      </c>
      <c r="E274" s="90"/>
      <c r="F274" s="90"/>
      <c r="G274" s="90"/>
      <c r="H274" s="90"/>
      <c r="I274" s="90"/>
      <c r="J274" s="90"/>
      <c r="K274" s="90"/>
      <c r="L274" s="90"/>
      <c r="M274" s="29"/>
      <c r="N274" s="29"/>
      <c r="O274" s="29"/>
      <c r="P274" s="29"/>
      <c r="Q274" s="29"/>
      <c r="R274" s="29"/>
      <c r="S274" s="29"/>
      <c r="T274" s="29"/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F274" s="29"/>
      <c r="AG274" s="29"/>
      <c r="AH274" s="29"/>
      <c r="AI274" s="29"/>
      <c r="AJ274" s="29"/>
      <c r="AK274" s="29"/>
      <c r="AL274" s="29"/>
      <c r="AM274" s="29"/>
      <c r="AN274" s="29"/>
      <c r="AO274" s="29"/>
    </row>
    <row r="275" spans="1:41" customFormat="1" ht="24" customHeight="1" x14ac:dyDescent="0.25">
      <c r="A275" s="3" t="s">
        <v>234</v>
      </c>
      <c r="B275" s="5">
        <f>H69+B253</f>
        <v>2729.1226263888889</v>
      </c>
      <c r="C275" s="5">
        <f t="shared" ref="C275:C280" si="67">D142</f>
        <v>218.3298101111111</v>
      </c>
      <c r="D275" s="7">
        <f>(B275+C275)</f>
        <v>2947.4524364999997</v>
      </c>
      <c r="E275" s="173"/>
      <c r="F275" s="173"/>
      <c r="G275" s="173"/>
      <c r="H275" s="173"/>
      <c r="I275" s="173"/>
      <c r="J275" s="173"/>
      <c r="K275" s="173"/>
      <c r="L275" s="173"/>
      <c r="M275" s="29"/>
      <c r="N275" s="29"/>
      <c r="O275" s="29"/>
      <c r="P275" s="29"/>
      <c r="Q275" s="29"/>
      <c r="R275" s="29"/>
      <c r="S275" s="29"/>
      <c r="T275" s="29"/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F275" s="29"/>
      <c r="AG275" s="29"/>
      <c r="AH275" s="29"/>
      <c r="AI275" s="29"/>
      <c r="AJ275" s="29"/>
      <c r="AK275" s="29"/>
      <c r="AL275" s="29"/>
      <c r="AM275" s="29"/>
      <c r="AN275" s="29"/>
      <c r="AO275" s="29"/>
    </row>
    <row r="276" spans="1:41" customFormat="1" ht="24" customHeight="1" thickBot="1" x14ac:dyDescent="0.3">
      <c r="A276" s="2" t="s">
        <v>237</v>
      </c>
      <c r="B276" s="65">
        <f t="shared" ref="B276:B280" si="68">H70+B254</f>
        <v>3183.9763974537036</v>
      </c>
      <c r="C276" s="65">
        <f t="shared" si="67"/>
        <v>254.71811179629628</v>
      </c>
      <c r="D276" s="67">
        <f t="shared" ref="D276:D280" si="69">(B276+C276)</f>
        <v>3438.69450925</v>
      </c>
      <c r="E276" s="173"/>
      <c r="F276" s="173"/>
      <c r="G276" s="173"/>
      <c r="H276" s="173"/>
      <c r="I276" s="173"/>
      <c r="J276" s="173"/>
      <c r="K276" s="173"/>
      <c r="L276" s="173"/>
      <c r="M276" s="29"/>
      <c r="N276" s="29"/>
      <c r="O276" s="29"/>
      <c r="P276" s="29"/>
      <c r="Q276" s="29"/>
      <c r="R276" s="29"/>
      <c r="S276" s="29"/>
      <c r="T276" s="29"/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F276" s="29"/>
      <c r="AG276" s="29"/>
      <c r="AH276" s="29"/>
      <c r="AI276" s="29"/>
      <c r="AJ276" s="29"/>
      <c r="AK276" s="29"/>
      <c r="AL276" s="29"/>
      <c r="AM276" s="29"/>
      <c r="AN276" s="29"/>
      <c r="AO276" s="29"/>
    </row>
    <row r="277" spans="1:41" customFormat="1" ht="24" customHeight="1" x14ac:dyDescent="0.25">
      <c r="A277" s="3" t="s">
        <v>259</v>
      </c>
      <c r="B277" s="5">
        <f t="shared" si="68"/>
        <v>2977.6525930555558</v>
      </c>
      <c r="C277" s="5">
        <f t="shared" si="67"/>
        <v>238.21220744444446</v>
      </c>
      <c r="D277" s="7">
        <f>(B277+C277)</f>
        <v>3215.8648005000005</v>
      </c>
      <c r="E277" s="173"/>
      <c r="F277" s="173"/>
      <c r="G277" s="173"/>
      <c r="H277" s="173"/>
      <c r="I277" s="173"/>
      <c r="J277" s="173"/>
      <c r="K277" s="173"/>
      <c r="L277" s="173"/>
      <c r="M277" s="29"/>
      <c r="N277" s="29"/>
      <c r="O277" s="29"/>
      <c r="P277" s="29"/>
      <c r="Q277" s="29"/>
      <c r="R277" s="29"/>
      <c r="S277" s="29"/>
      <c r="T277" s="29"/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F277" s="29"/>
      <c r="AG277" s="29"/>
      <c r="AH277" s="29"/>
      <c r="AI277" s="29"/>
      <c r="AJ277" s="29"/>
      <c r="AK277" s="29"/>
      <c r="AL277" s="29"/>
      <c r="AM277" s="29"/>
      <c r="AN277" s="29"/>
      <c r="AO277" s="29"/>
    </row>
    <row r="278" spans="1:41" customFormat="1" ht="24" customHeight="1" thickBot="1" x14ac:dyDescent="0.3">
      <c r="A278" s="2" t="s">
        <v>363</v>
      </c>
      <c r="B278" s="65">
        <f t="shared" si="68"/>
        <v>3400.7723800925928</v>
      </c>
      <c r="C278" s="65">
        <f t="shared" si="67"/>
        <v>272.06179040740744</v>
      </c>
      <c r="D278" s="67">
        <f t="shared" ref="D278" si="70">(B278+C278)</f>
        <v>3672.8341705000003</v>
      </c>
      <c r="E278" s="173"/>
      <c r="F278" s="173"/>
      <c r="G278" s="173"/>
      <c r="H278" s="173"/>
      <c r="I278" s="173"/>
      <c r="J278" s="173"/>
      <c r="K278" s="173"/>
      <c r="L278" s="173"/>
      <c r="M278" s="29"/>
      <c r="N278" s="29"/>
      <c r="O278" s="29"/>
      <c r="P278" s="29"/>
      <c r="Q278" s="29"/>
      <c r="R278" s="29"/>
      <c r="S278" s="29"/>
      <c r="T278" s="29"/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F278" s="29"/>
      <c r="AG278" s="29"/>
      <c r="AH278" s="29"/>
      <c r="AI278" s="29"/>
      <c r="AJ278" s="29"/>
      <c r="AK278" s="29"/>
      <c r="AL278" s="29"/>
      <c r="AM278" s="29"/>
      <c r="AN278" s="29"/>
      <c r="AO278" s="29"/>
    </row>
    <row r="279" spans="1:41" customFormat="1" ht="24" customHeight="1" x14ac:dyDescent="0.25">
      <c r="A279" s="3" t="s">
        <v>235</v>
      </c>
      <c r="B279" s="5">
        <f t="shared" si="68"/>
        <v>2977.6525930555558</v>
      </c>
      <c r="C279" s="5">
        <f t="shared" si="67"/>
        <v>238.21220744444446</v>
      </c>
      <c r="D279" s="7">
        <f t="shared" si="69"/>
        <v>3215.8648005000005</v>
      </c>
      <c r="E279" s="173"/>
      <c r="F279" s="173"/>
      <c r="G279" s="173"/>
      <c r="H279" s="173"/>
      <c r="I279" s="173"/>
      <c r="J279" s="173"/>
      <c r="K279" s="173"/>
      <c r="L279" s="173"/>
      <c r="M279" s="29"/>
      <c r="N279" s="29"/>
      <c r="O279" s="29"/>
      <c r="P279" s="29"/>
      <c r="Q279" s="29"/>
      <c r="R279" s="29"/>
      <c r="S279" s="29"/>
      <c r="T279" s="29"/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F279" s="29"/>
      <c r="AG279" s="29"/>
      <c r="AH279" s="29"/>
      <c r="AI279" s="29"/>
      <c r="AJ279" s="29"/>
      <c r="AK279" s="29"/>
      <c r="AL279" s="29"/>
      <c r="AM279" s="29"/>
      <c r="AN279" s="29"/>
      <c r="AO279" s="29"/>
    </row>
    <row r="280" spans="1:41" customFormat="1" ht="24" customHeight="1" thickBot="1" x14ac:dyDescent="0.3">
      <c r="A280" s="2" t="s">
        <v>236</v>
      </c>
      <c r="B280" s="65">
        <f t="shared" si="68"/>
        <v>3432.5063641203706</v>
      </c>
      <c r="C280" s="65">
        <f t="shared" si="67"/>
        <v>274.60050912962964</v>
      </c>
      <c r="D280" s="67">
        <f t="shared" si="69"/>
        <v>3707.1068732500003</v>
      </c>
      <c r="E280" s="173"/>
      <c r="F280" s="173"/>
      <c r="G280" s="173"/>
      <c r="H280" s="173"/>
      <c r="I280" s="173"/>
      <c r="J280" s="173"/>
      <c r="K280" s="173"/>
      <c r="L280" s="173"/>
      <c r="M280" s="29"/>
      <c r="N280" s="29"/>
      <c r="O280" s="29"/>
      <c r="P280" s="29"/>
      <c r="Q280" s="29"/>
      <c r="R280" s="29"/>
      <c r="S280" s="29"/>
      <c r="T280" s="29"/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F280" s="29"/>
      <c r="AG280" s="29"/>
      <c r="AH280" s="29"/>
      <c r="AI280" s="29"/>
      <c r="AJ280" s="29"/>
      <c r="AK280" s="29"/>
      <c r="AL280" s="29"/>
      <c r="AM280" s="29"/>
      <c r="AN280" s="29"/>
      <c r="AO280" s="29"/>
    </row>
    <row r="281" spans="1:41" ht="24" customHeight="1" thickBot="1" x14ac:dyDescent="0.3"/>
    <row r="282" spans="1:41" ht="24" customHeight="1" thickBot="1" x14ac:dyDescent="0.3">
      <c r="A282" s="348" t="s">
        <v>59</v>
      </c>
      <c r="B282" s="349"/>
      <c r="C282" s="349"/>
      <c r="D282" s="350"/>
      <c r="E282" s="28"/>
    </row>
    <row r="283" spans="1:41" ht="32.25" thickBot="1" x14ac:dyDescent="0.3">
      <c r="A283" s="12" t="s">
        <v>3</v>
      </c>
      <c r="B283" s="13" t="s">
        <v>1</v>
      </c>
      <c r="C283" s="27" t="s">
        <v>60</v>
      </c>
      <c r="D283" s="14" t="s">
        <v>4</v>
      </c>
    </row>
    <row r="284" spans="1:41" ht="24" customHeight="1" x14ac:dyDescent="0.25">
      <c r="A284" s="3" t="s">
        <v>234</v>
      </c>
      <c r="B284" s="5">
        <f t="shared" ref="B284:B289" si="71">D142</f>
        <v>218.3298101111111</v>
      </c>
      <c r="C284" s="149">
        <v>0.4</v>
      </c>
      <c r="D284" s="7">
        <f>B284*C284</f>
        <v>87.331924044444449</v>
      </c>
    </row>
    <row r="285" spans="1:41" ht="24" customHeight="1" thickBot="1" x14ac:dyDescent="0.3">
      <c r="A285" s="2" t="s">
        <v>237</v>
      </c>
      <c r="B285" s="65">
        <f t="shared" si="71"/>
        <v>254.71811179629628</v>
      </c>
      <c r="C285" s="72">
        <f>C284</f>
        <v>0.4</v>
      </c>
      <c r="D285" s="67">
        <f t="shared" ref="D285:D289" si="72">B285*C285</f>
        <v>101.88724471851852</v>
      </c>
    </row>
    <row r="286" spans="1:41" ht="24" customHeight="1" x14ac:dyDescent="0.25">
      <c r="A286" s="3" t="s">
        <v>259</v>
      </c>
      <c r="B286" s="5">
        <f t="shared" si="71"/>
        <v>238.21220744444446</v>
      </c>
      <c r="C286" s="149">
        <v>0.4</v>
      </c>
      <c r="D286" s="7">
        <f>B286*C286</f>
        <v>95.284882977777784</v>
      </c>
    </row>
    <row r="287" spans="1:41" ht="24" customHeight="1" thickBot="1" x14ac:dyDescent="0.3">
      <c r="A287" s="2" t="s">
        <v>363</v>
      </c>
      <c r="B287" s="65">
        <f t="shared" si="71"/>
        <v>272.06179040740744</v>
      </c>
      <c r="C287" s="72">
        <f>C286</f>
        <v>0.4</v>
      </c>
      <c r="D287" s="67">
        <f t="shared" ref="D287" si="73">B287*C287</f>
        <v>108.82471616296299</v>
      </c>
    </row>
    <row r="288" spans="1:41" ht="24" customHeight="1" x14ac:dyDescent="0.25">
      <c r="A288" s="3" t="s">
        <v>235</v>
      </c>
      <c r="B288" s="5">
        <f t="shared" si="71"/>
        <v>238.21220744444446</v>
      </c>
      <c r="C288" s="70">
        <v>0.4</v>
      </c>
      <c r="D288" s="7">
        <f t="shared" si="72"/>
        <v>95.284882977777784</v>
      </c>
    </row>
    <row r="289" spans="1:41" ht="24" customHeight="1" thickBot="1" x14ac:dyDescent="0.3">
      <c r="A289" s="2" t="s">
        <v>236</v>
      </c>
      <c r="B289" s="65">
        <f t="shared" si="71"/>
        <v>274.60050912962964</v>
      </c>
      <c r="C289" s="72">
        <v>0.4</v>
      </c>
      <c r="D289" s="67">
        <f t="shared" si="72"/>
        <v>109.84020365185187</v>
      </c>
    </row>
    <row r="290" spans="1:41" ht="24" customHeight="1" thickBot="1" x14ac:dyDescent="0.3"/>
    <row r="291" spans="1:41" customFormat="1" ht="24" customHeight="1" thickBot="1" x14ac:dyDescent="0.3">
      <c r="A291" s="364" t="s">
        <v>61</v>
      </c>
      <c r="B291" s="365"/>
      <c r="C291" s="365"/>
      <c r="D291" s="365"/>
      <c r="E291" s="365"/>
      <c r="F291" s="366"/>
      <c r="G291" s="90"/>
      <c r="H291" s="90"/>
      <c r="I291" s="90"/>
      <c r="J291" s="90"/>
      <c r="K291" s="90"/>
      <c r="L291" s="90"/>
      <c r="M291" s="29"/>
      <c r="N291" s="29"/>
      <c r="O291" s="29"/>
      <c r="P291" s="29"/>
      <c r="Q291" s="29"/>
      <c r="R291" s="29"/>
      <c r="S291" s="29"/>
      <c r="T291" s="29"/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29"/>
      <c r="AF291" s="29"/>
      <c r="AG291" s="29"/>
      <c r="AH291" s="29"/>
      <c r="AI291" s="29"/>
      <c r="AJ291" s="29"/>
      <c r="AK291" s="29"/>
      <c r="AL291" s="29"/>
      <c r="AM291" s="29"/>
      <c r="AN291" s="29"/>
      <c r="AO291" s="29"/>
    </row>
    <row r="292" spans="1:41" customFormat="1" ht="32.25" thickBot="1" x14ac:dyDescent="0.3">
      <c r="A292" s="175" t="s">
        <v>3</v>
      </c>
      <c r="B292" s="313" t="s">
        <v>244</v>
      </c>
      <c r="C292" s="176" t="s">
        <v>243</v>
      </c>
      <c r="D292" s="176" t="s">
        <v>245</v>
      </c>
      <c r="E292" s="313" t="s">
        <v>246</v>
      </c>
      <c r="F292" s="179" t="s">
        <v>4</v>
      </c>
      <c r="G292" s="29"/>
      <c r="H292" s="90"/>
      <c r="I292" s="90"/>
      <c r="J292" s="90"/>
      <c r="K292" s="90"/>
      <c r="L292" s="90"/>
      <c r="M292" s="29"/>
      <c r="N292" s="29"/>
      <c r="O292" s="29"/>
      <c r="P292" s="29"/>
      <c r="Q292" s="29"/>
      <c r="R292" s="29"/>
      <c r="S292" s="29"/>
      <c r="T292" s="29"/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F292" s="29"/>
      <c r="AG292" s="29"/>
      <c r="AH292" s="29"/>
      <c r="AI292" s="29"/>
      <c r="AJ292" s="29"/>
      <c r="AK292" s="29"/>
      <c r="AL292" s="29"/>
      <c r="AM292" s="29"/>
      <c r="AN292" s="29"/>
      <c r="AO292" s="29"/>
    </row>
    <row r="293" spans="1:41" customFormat="1" ht="24" customHeight="1" x14ac:dyDescent="0.25">
      <c r="A293" s="3" t="s">
        <v>234</v>
      </c>
      <c r="B293" s="5">
        <f t="shared" ref="B293:C296" si="74">B275</f>
        <v>2729.1226263888889</v>
      </c>
      <c r="C293" s="5">
        <f t="shared" si="74"/>
        <v>218.3298101111111</v>
      </c>
      <c r="D293" s="5">
        <f t="shared" ref="D293:D298" si="75">D284</f>
        <v>87.331924044444449</v>
      </c>
      <c r="E293" s="81">
        <f>B265</f>
        <v>4.1999999999999997E-3</v>
      </c>
      <c r="F293" s="7">
        <f t="shared" ref="F293" si="76">(B293+C293+D293)*E293</f>
        <v>12.746094314286664</v>
      </c>
      <c r="G293" s="29"/>
      <c r="H293" s="173"/>
      <c r="I293" s="173"/>
      <c r="J293" s="173"/>
      <c r="K293" s="173"/>
      <c r="L293" s="173"/>
      <c r="M293" s="29"/>
      <c r="N293" s="29"/>
      <c r="O293" s="29"/>
      <c r="P293" s="29"/>
      <c r="Q293" s="29"/>
      <c r="R293" s="29"/>
      <c r="S293" s="29"/>
      <c r="T293" s="29"/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  <c r="AF293" s="29"/>
      <c r="AG293" s="29"/>
      <c r="AH293" s="29"/>
      <c r="AI293" s="29"/>
      <c r="AJ293" s="29"/>
      <c r="AK293" s="29"/>
      <c r="AL293" s="29"/>
      <c r="AM293" s="29"/>
      <c r="AN293" s="29"/>
      <c r="AO293" s="29"/>
    </row>
    <row r="294" spans="1:41" customFormat="1" ht="24" customHeight="1" thickBot="1" x14ac:dyDescent="0.3">
      <c r="A294" s="73" t="s">
        <v>237</v>
      </c>
      <c r="B294" s="74">
        <f t="shared" si="74"/>
        <v>3183.9763974537036</v>
      </c>
      <c r="C294" s="74">
        <f t="shared" si="74"/>
        <v>254.71811179629628</v>
      </c>
      <c r="D294" s="74">
        <f t="shared" si="75"/>
        <v>101.88724471851852</v>
      </c>
      <c r="E294" s="236">
        <f>B265</f>
        <v>4.1999999999999997E-3</v>
      </c>
      <c r="F294" s="78">
        <f t="shared" ref="F294:F295" si="77">(B294+C294+D294)*E294</f>
        <v>14.870443366667777</v>
      </c>
      <c r="G294" s="29"/>
      <c r="H294" s="173"/>
      <c r="I294" s="173"/>
      <c r="J294" s="173"/>
      <c r="K294" s="173"/>
      <c r="L294" s="173"/>
      <c r="M294" s="29"/>
      <c r="N294" s="29"/>
      <c r="O294" s="29"/>
      <c r="P294" s="29"/>
      <c r="Q294" s="29"/>
      <c r="R294" s="29"/>
      <c r="S294" s="29"/>
      <c r="T294" s="29"/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29"/>
      <c r="AF294" s="29"/>
      <c r="AG294" s="29"/>
      <c r="AH294" s="29"/>
      <c r="AI294" s="29"/>
      <c r="AJ294" s="29"/>
      <c r="AK294" s="29"/>
      <c r="AL294" s="29"/>
      <c r="AM294" s="29"/>
      <c r="AN294" s="29"/>
      <c r="AO294" s="29"/>
    </row>
    <row r="295" spans="1:41" customFormat="1" ht="24" customHeight="1" x14ac:dyDescent="0.25">
      <c r="A295" s="3" t="s">
        <v>259</v>
      </c>
      <c r="B295" s="5">
        <f t="shared" si="74"/>
        <v>2977.6525930555558</v>
      </c>
      <c r="C295" s="5">
        <f t="shared" si="74"/>
        <v>238.21220744444446</v>
      </c>
      <c r="D295" s="5">
        <f t="shared" si="75"/>
        <v>95.284882977777784</v>
      </c>
      <c r="E295" s="81">
        <f>B265</f>
        <v>4.1999999999999997E-3</v>
      </c>
      <c r="F295" s="7">
        <f t="shared" si="77"/>
        <v>13.906828670606668</v>
      </c>
      <c r="G295" s="29"/>
      <c r="H295" s="173"/>
      <c r="I295" s="173"/>
      <c r="J295" s="173"/>
      <c r="K295" s="173"/>
      <c r="L295" s="173"/>
      <c r="M295" s="29"/>
      <c r="N295" s="29"/>
      <c r="O295" s="29"/>
      <c r="P295" s="29"/>
      <c r="Q295" s="29"/>
      <c r="R295" s="29"/>
      <c r="S295" s="29"/>
      <c r="T295" s="29"/>
      <c r="U295" s="29"/>
      <c r="V295" s="29"/>
      <c r="W295" s="29"/>
      <c r="X295" s="29"/>
      <c r="Y295" s="29"/>
      <c r="Z295" s="29"/>
      <c r="AA295" s="29"/>
      <c r="AB295" s="29"/>
      <c r="AC295" s="29"/>
      <c r="AD295" s="29"/>
      <c r="AE295" s="29"/>
      <c r="AF295" s="29"/>
      <c r="AG295" s="29"/>
      <c r="AH295" s="29"/>
      <c r="AI295" s="29"/>
      <c r="AJ295" s="29"/>
      <c r="AK295" s="29"/>
      <c r="AL295" s="29"/>
      <c r="AM295" s="29"/>
      <c r="AN295" s="29"/>
      <c r="AO295" s="29"/>
    </row>
    <row r="296" spans="1:41" customFormat="1" ht="24" customHeight="1" thickBot="1" x14ac:dyDescent="0.3">
      <c r="A296" s="2" t="s">
        <v>363</v>
      </c>
      <c r="B296" s="65">
        <f t="shared" si="74"/>
        <v>3400.7723800925928</v>
      </c>
      <c r="C296" s="65">
        <f t="shared" si="74"/>
        <v>272.06179040740744</v>
      </c>
      <c r="D296" s="65">
        <f t="shared" si="75"/>
        <v>108.82471616296299</v>
      </c>
      <c r="E296" s="80">
        <f>B265</f>
        <v>4.1999999999999997E-3</v>
      </c>
      <c r="F296" s="67">
        <f t="shared" ref="F296" si="78">(B296+C296+D296)*E296</f>
        <v>15.882967323984444</v>
      </c>
      <c r="G296" s="29"/>
      <c r="H296" s="173"/>
      <c r="I296" s="173"/>
      <c r="J296" s="173"/>
      <c r="K296" s="173"/>
      <c r="L296" s="173"/>
      <c r="M296" s="29"/>
      <c r="N296" s="29"/>
      <c r="O296" s="29"/>
      <c r="P296" s="29"/>
      <c r="Q296" s="29"/>
      <c r="R296" s="29"/>
      <c r="S296" s="29"/>
      <c r="T296" s="29"/>
      <c r="U296" s="29"/>
      <c r="V296" s="29"/>
      <c r="W296" s="29"/>
      <c r="X296" s="29"/>
      <c r="Y296" s="29"/>
      <c r="Z296" s="29"/>
      <c r="AA296" s="29"/>
      <c r="AB296" s="29"/>
      <c r="AC296" s="29"/>
      <c r="AD296" s="29"/>
      <c r="AE296" s="29"/>
      <c r="AF296" s="29"/>
      <c r="AG296" s="29"/>
      <c r="AH296" s="29"/>
      <c r="AI296" s="29"/>
      <c r="AJ296" s="29"/>
      <c r="AK296" s="29"/>
      <c r="AL296" s="29"/>
      <c r="AM296" s="29"/>
      <c r="AN296" s="29"/>
      <c r="AO296" s="29"/>
    </row>
    <row r="297" spans="1:41" customFormat="1" ht="24" customHeight="1" x14ac:dyDescent="0.25">
      <c r="A297" s="1" t="s">
        <v>235</v>
      </c>
      <c r="B297" s="10">
        <f t="shared" ref="B297:C297" si="79">B279</f>
        <v>2977.6525930555558</v>
      </c>
      <c r="C297" s="10">
        <f t="shared" si="79"/>
        <v>238.21220744444446</v>
      </c>
      <c r="D297" s="10">
        <f t="shared" si="75"/>
        <v>95.284882977777784</v>
      </c>
      <c r="E297" s="185">
        <f>B265</f>
        <v>4.1999999999999997E-3</v>
      </c>
      <c r="F297" s="9">
        <f t="shared" ref="F297:F298" si="80">(B297+C297+D297)*E297</f>
        <v>13.906828670606668</v>
      </c>
      <c r="G297" s="29"/>
      <c r="H297" s="173"/>
      <c r="I297" s="173"/>
      <c r="J297" s="173"/>
      <c r="K297" s="173"/>
      <c r="L297" s="173"/>
      <c r="M297" s="29"/>
      <c r="N297" s="29"/>
      <c r="O297" s="29"/>
      <c r="P297" s="29"/>
      <c r="Q297" s="29"/>
      <c r="R297" s="29"/>
      <c r="S297" s="29"/>
      <c r="T297" s="29"/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F297" s="29"/>
      <c r="AG297" s="29"/>
      <c r="AH297" s="29"/>
      <c r="AI297" s="29"/>
      <c r="AJ297" s="29"/>
      <c r="AK297" s="29"/>
      <c r="AL297" s="29"/>
      <c r="AM297" s="29"/>
      <c r="AN297" s="29"/>
      <c r="AO297" s="29"/>
    </row>
    <row r="298" spans="1:41" customFormat="1" ht="24" customHeight="1" thickBot="1" x14ac:dyDescent="0.3">
      <c r="A298" s="2" t="s">
        <v>236</v>
      </c>
      <c r="B298" s="65">
        <f t="shared" ref="B298:C298" si="81">B280</f>
        <v>3432.5063641203706</v>
      </c>
      <c r="C298" s="65">
        <f t="shared" si="81"/>
        <v>274.60050912962964</v>
      </c>
      <c r="D298" s="65">
        <f t="shared" si="75"/>
        <v>109.84020365185187</v>
      </c>
      <c r="E298" s="80">
        <f>B265</f>
        <v>4.1999999999999997E-3</v>
      </c>
      <c r="F298" s="67">
        <f t="shared" si="80"/>
        <v>16.031177722987778</v>
      </c>
      <c r="G298" s="29"/>
      <c r="H298" s="173"/>
      <c r="I298" s="173"/>
      <c r="J298" s="173"/>
      <c r="K298" s="173"/>
      <c r="L298" s="173"/>
      <c r="M298" s="29"/>
      <c r="N298" s="29"/>
      <c r="O298" s="29"/>
      <c r="P298" s="29"/>
      <c r="Q298" s="29"/>
      <c r="R298" s="29"/>
      <c r="S298" s="29"/>
      <c r="T298" s="29"/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F298" s="29"/>
      <c r="AG298" s="29"/>
      <c r="AH298" s="29"/>
      <c r="AI298" s="29"/>
      <c r="AJ298" s="29"/>
      <c r="AK298" s="29"/>
      <c r="AL298" s="29"/>
      <c r="AM298" s="29"/>
      <c r="AN298" s="29"/>
      <c r="AO298" s="29"/>
    </row>
    <row r="299" spans="1:41" customFormat="1" ht="24" customHeight="1" x14ac:dyDescent="0.25">
      <c r="A299" s="52"/>
      <c r="B299" s="174"/>
      <c r="C299" s="174"/>
      <c r="D299" s="174"/>
      <c r="E299" s="177"/>
      <c r="F299" s="173"/>
      <c r="G299" s="29"/>
      <c r="H299" s="173"/>
      <c r="I299" s="173"/>
      <c r="J299" s="173"/>
      <c r="K299" s="173"/>
      <c r="L299" s="173"/>
      <c r="M299" s="29"/>
      <c r="N299" s="29"/>
      <c r="O299" s="29"/>
      <c r="P299" s="29"/>
      <c r="Q299" s="29"/>
      <c r="R299" s="29"/>
      <c r="S299" s="29"/>
      <c r="T299" s="29"/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F299" s="29"/>
      <c r="AG299" s="29"/>
      <c r="AH299" s="29"/>
      <c r="AI299" s="29"/>
      <c r="AJ299" s="29"/>
      <c r="AK299" s="29"/>
      <c r="AL299" s="29"/>
      <c r="AM299" s="29"/>
      <c r="AN299" s="29"/>
      <c r="AO299" s="29"/>
    </row>
    <row r="300" spans="1:41" ht="24" customHeight="1" x14ac:dyDescent="0.25">
      <c r="A300" s="356" t="s">
        <v>62</v>
      </c>
      <c r="B300" s="357"/>
      <c r="C300" s="357"/>
      <c r="D300" s="357"/>
      <c r="E300" s="357"/>
      <c r="F300" s="357"/>
      <c r="G300" s="357"/>
      <c r="H300" s="357"/>
    </row>
    <row r="301" spans="1:41" customFormat="1" ht="24" customHeight="1" thickBot="1" x14ac:dyDescent="0.3">
      <c r="A301" s="52"/>
      <c r="B301" s="174"/>
      <c r="C301" s="174"/>
      <c r="D301" s="174"/>
      <c r="E301" s="177"/>
      <c r="F301" s="173"/>
      <c r="G301" s="29"/>
      <c r="H301" s="173"/>
      <c r="I301" s="173"/>
      <c r="J301" s="173"/>
      <c r="K301" s="173"/>
      <c r="L301" s="173"/>
      <c r="M301" s="29"/>
      <c r="N301" s="29"/>
      <c r="O301" s="29"/>
      <c r="P301" s="29"/>
      <c r="Q301" s="29"/>
      <c r="R301" s="29"/>
      <c r="S301" s="29"/>
      <c r="T301" s="29"/>
      <c r="U301" s="29"/>
      <c r="V301" s="29"/>
      <c r="W301" s="29"/>
      <c r="X301" s="29"/>
      <c r="Y301" s="29"/>
      <c r="Z301" s="29"/>
      <c r="AA301" s="29"/>
      <c r="AB301" s="29"/>
      <c r="AC301" s="29"/>
      <c r="AD301" s="29"/>
      <c r="AE301" s="29"/>
      <c r="AF301" s="29"/>
      <c r="AG301" s="29"/>
      <c r="AH301" s="29"/>
      <c r="AI301" s="29"/>
      <c r="AJ301" s="29"/>
      <c r="AK301" s="29"/>
      <c r="AL301" s="29"/>
      <c r="AM301" s="29"/>
      <c r="AN301" s="29"/>
      <c r="AO301" s="29"/>
    </row>
    <row r="302" spans="1:41" customFormat="1" ht="34.9" customHeight="1" thickBot="1" x14ac:dyDescent="0.3">
      <c r="A302" s="369" t="s">
        <v>247</v>
      </c>
      <c r="B302" s="370"/>
      <c r="C302" s="370"/>
      <c r="D302" s="371"/>
      <c r="E302" s="90"/>
      <c r="F302" s="90"/>
      <c r="G302" s="90"/>
      <c r="H302" s="90"/>
      <c r="I302" s="90"/>
      <c r="J302" s="90"/>
      <c r="K302" s="90"/>
      <c r="L302" s="90"/>
      <c r="M302" s="29"/>
      <c r="N302" s="29"/>
      <c r="O302" s="29"/>
      <c r="P302" s="29"/>
      <c r="Q302" s="29"/>
      <c r="R302" s="29"/>
      <c r="S302" s="29"/>
      <c r="T302" s="29"/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F302" s="29"/>
      <c r="AG302" s="29"/>
      <c r="AH302" s="29"/>
      <c r="AI302" s="29"/>
      <c r="AJ302" s="29"/>
      <c r="AK302" s="29"/>
      <c r="AL302" s="29"/>
      <c r="AM302" s="29"/>
      <c r="AN302" s="29"/>
      <c r="AO302" s="29"/>
    </row>
    <row r="303" spans="1:41" customFormat="1" ht="48" thickBot="1" x14ac:dyDescent="0.3">
      <c r="A303" s="175" t="s">
        <v>3</v>
      </c>
      <c r="B303" s="176" t="s">
        <v>1</v>
      </c>
      <c r="C303" s="178" t="s">
        <v>248</v>
      </c>
      <c r="D303" s="179" t="s">
        <v>4</v>
      </c>
      <c r="E303" s="90"/>
      <c r="F303" s="90"/>
      <c r="G303" s="90"/>
      <c r="H303" s="90"/>
      <c r="I303" s="90"/>
      <c r="J303" s="90"/>
      <c r="K303" s="90"/>
      <c r="L303" s="90"/>
      <c r="M303" s="29"/>
      <c r="N303" s="29"/>
      <c r="O303" s="29"/>
      <c r="P303" s="29"/>
      <c r="Q303" s="29"/>
      <c r="R303" s="29"/>
      <c r="S303" s="29"/>
      <c r="T303" s="29"/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F303" s="29"/>
      <c r="AG303" s="29"/>
      <c r="AH303" s="29"/>
      <c r="AI303" s="29"/>
      <c r="AJ303" s="29"/>
      <c r="AK303" s="29"/>
      <c r="AL303" s="29"/>
      <c r="AM303" s="29"/>
      <c r="AN303" s="29"/>
      <c r="AO303" s="29"/>
    </row>
    <row r="304" spans="1:41" customFormat="1" ht="24" customHeight="1" x14ac:dyDescent="0.25">
      <c r="A304" s="3" t="s">
        <v>234</v>
      </c>
      <c r="B304" s="5">
        <f t="shared" ref="B304:B309" si="82">H69+B253+D253</f>
        <v>3352.9454263888888</v>
      </c>
      <c r="C304" s="5">
        <f t="shared" ref="C304:C309" si="83">C253</f>
        <v>1086.1908053027778</v>
      </c>
      <c r="D304" s="7">
        <f t="shared" ref="D304" si="84">B304+C304</f>
        <v>4439.1362316916666</v>
      </c>
      <c r="E304" s="173"/>
      <c r="F304" s="173"/>
      <c r="G304" s="173"/>
      <c r="H304" s="173"/>
      <c r="I304" s="173"/>
      <c r="J304" s="173"/>
      <c r="K304" s="173"/>
      <c r="L304" s="173"/>
      <c r="M304" s="29"/>
      <c r="N304" s="29"/>
      <c r="O304" s="29"/>
      <c r="P304" s="29"/>
      <c r="Q304" s="29"/>
      <c r="R304" s="29"/>
      <c r="S304" s="29"/>
      <c r="T304" s="29"/>
      <c r="U304" s="29"/>
      <c r="V304" s="29"/>
      <c r="W304" s="29"/>
      <c r="X304" s="29"/>
      <c r="Y304" s="29"/>
      <c r="Z304" s="29"/>
      <c r="AA304" s="29"/>
      <c r="AB304" s="29"/>
      <c r="AC304" s="29"/>
      <c r="AD304" s="29"/>
      <c r="AE304" s="29"/>
      <c r="AF304" s="29"/>
      <c r="AG304" s="29"/>
      <c r="AH304" s="29"/>
      <c r="AI304" s="29"/>
      <c r="AJ304" s="29"/>
      <c r="AK304" s="29"/>
      <c r="AL304" s="29"/>
      <c r="AM304" s="29"/>
      <c r="AN304" s="29"/>
      <c r="AO304" s="29"/>
    </row>
    <row r="305" spans="1:41" customFormat="1" ht="24" customHeight="1" thickBot="1" x14ac:dyDescent="0.3">
      <c r="A305" s="2" t="s">
        <v>237</v>
      </c>
      <c r="B305" s="65">
        <f t="shared" si="82"/>
        <v>3807.7991974537035</v>
      </c>
      <c r="C305" s="65">
        <f t="shared" si="83"/>
        <v>1267.2226061865742</v>
      </c>
      <c r="D305" s="67">
        <f t="shared" ref="D305:D309" si="85">B305+C305</f>
        <v>5075.0218036402775</v>
      </c>
      <c r="E305" s="173"/>
      <c r="F305" s="173"/>
      <c r="G305" s="173"/>
      <c r="H305" s="173"/>
      <c r="I305" s="173"/>
      <c r="J305" s="173"/>
      <c r="K305" s="173"/>
      <c r="L305" s="173"/>
      <c r="M305" s="29"/>
      <c r="N305" s="29"/>
      <c r="O305" s="29"/>
      <c r="P305" s="29"/>
      <c r="Q305" s="29"/>
      <c r="R305" s="29"/>
      <c r="S305" s="29"/>
      <c r="T305" s="29"/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F305" s="29"/>
      <c r="AG305" s="29"/>
      <c r="AH305" s="29"/>
      <c r="AI305" s="29"/>
      <c r="AJ305" s="29"/>
      <c r="AK305" s="29"/>
      <c r="AL305" s="29"/>
      <c r="AM305" s="29"/>
      <c r="AN305" s="29"/>
      <c r="AO305" s="29"/>
    </row>
    <row r="306" spans="1:41" customFormat="1" ht="24" customHeight="1" x14ac:dyDescent="0.25">
      <c r="A306" s="3" t="s">
        <v>259</v>
      </c>
      <c r="B306" s="5">
        <f t="shared" si="82"/>
        <v>3601.4753930555557</v>
      </c>
      <c r="C306" s="5">
        <f t="shared" si="83"/>
        <v>1185.1057320361115</v>
      </c>
      <c r="D306" s="7">
        <f t="shared" si="85"/>
        <v>4786.5811250916668</v>
      </c>
      <c r="E306" s="173"/>
      <c r="F306" s="173"/>
      <c r="G306" s="173"/>
      <c r="H306" s="173"/>
      <c r="I306" s="173"/>
      <c r="J306" s="173"/>
      <c r="K306" s="173"/>
      <c r="L306" s="173"/>
      <c r="M306" s="29"/>
      <c r="N306" s="29"/>
      <c r="O306" s="29"/>
      <c r="P306" s="29"/>
      <c r="Q306" s="29"/>
      <c r="R306" s="29"/>
      <c r="S306" s="29"/>
      <c r="T306" s="29"/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29"/>
      <c r="AF306" s="29"/>
      <c r="AG306" s="29"/>
      <c r="AH306" s="29"/>
      <c r="AI306" s="29"/>
      <c r="AJ306" s="29"/>
      <c r="AK306" s="29"/>
      <c r="AL306" s="29"/>
      <c r="AM306" s="29"/>
      <c r="AN306" s="29"/>
      <c r="AO306" s="29"/>
    </row>
    <row r="307" spans="1:41" customFormat="1" ht="24" customHeight="1" thickBot="1" x14ac:dyDescent="0.3">
      <c r="A307" s="2" t="s">
        <v>363</v>
      </c>
      <c r="B307" s="65">
        <f t="shared" si="82"/>
        <v>4024.5951800925927</v>
      </c>
      <c r="C307" s="65">
        <f t="shared" si="83"/>
        <v>1353.5074072768521</v>
      </c>
      <c r="D307" s="67">
        <f t="shared" ref="D307" si="86">B307+C307</f>
        <v>5378.1025873694452</v>
      </c>
      <c r="E307" s="173"/>
      <c r="F307" s="173"/>
      <c r="G307" s="173"/>
      <c r="H307" s="173"/>
      <c r="I307" s="173"/>
      <c r="J307" s="173"/>
      <c r="K307" s="173"/>
      <c r="L307" s="173"/>
      <c r="M307" s="29"/>
      <c r="N307" s="29"/>
      <c r="O307" s="29"/>
      <c r="P307" s="29"/>
      <c r="Q307" s="29"/>
      <c r="R307" s="29"/>
      <c r="S307" s="29"/>
      <c r="T307" s="29"/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F307" s="29"/>
      <c r="AG307" s="29"/>
      <c r="AH307" s="29"/>
      <c r="AI307" s="29"/>
      <c r="AJ307" s="29"/>
      <c r="AK307" s="29"/>
      <c r="AL307" s="29"/>
      <c r="AM307" s="29"/>
      <c r="AN307" s="29"/>
      <c r="AO307" s="29"/>
    </row>
    <row r="308" spans="1:41" customFormat="1" ht="24" customHeight="1" x14ac:dyDescent="0.25">
      <c r="A308" s="1" t="s">
        <v>235</v>
      </c>
      <c r="B308" s="10">
        <f t="shared" si="82"/>
        <v>3601.4753930555557</v>
      </c>
      <c r="C308" s="10">
        <f t="shared" si="83"/>
        <v>1185.1057320361115</v>
      </c>
      <c r="D308" s="9">
        <f t="shared" si="85"/>
        <v>4786.5811250916668</v>
      </c>
      <c r="E308" s="173"/>
      <c r="F308" s="173"/>
      <c r="G308" s="173"/>
      <c r="H308" s="173"/>
      <c r="I308" s="173"/>
      <c r="J308" s="173"/>
      <c r="K308" s="173"/>
      <c r="L308" s="173"/>
      <c r="M308" s="29"/>
      <c r="N308" s="29"/>
      <c r="O308" s="29"/>
      <c r="P308" s="29"/>
      <c r="Q308" s="29"/>
      <c r="R308" s="29"/>
      <c r="S308" s="29"/>
      <c r="T308" s="29"/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F308" s="29"/>
      <c r="AG308" s="29"/>
      <c r="AH308" s="29"/>
      <c r="AI308" s="29"/>
      <c r="AJ308" s="29"/>
      <c r="AK308" s="29"/>
      <c r="AL308" s="29"/>
      <c r="AM308" s="29"/>
      <c r="AN308" s="29"/>
      <c r="AO308" s="29"/>
    </row>
    <row r="309" spans="1:41" customFormat="1" ht="24" customHeight="1" thickBot="1" x14ac:dyDescent="0.3">
      <c r="A309" s="2" t="s">
        <v>236</v>
      </c>
      <c r="B309" s="65">
        <f t="shared" si="82"/>
        <v>4056.3291641203705</v>
      </c>
      <c r="C309" s="65">
        <f t="shared" si="83"/>
        <v>1366.1375329199077</v>
      </c>
      <c r="D309" s="67">
        <f t="shared" si="85"/>
        <v>5422.4666970402777</v>
      </c>
      <c r="E309" s="173"/>
      <c r="F309" s="173"/>
      <c r="G309" s="173"/>
      <c r="H309" s="173"/>
      <c r="I309" s="173"/>
      <c r="J309" s="173"/>
      <c r="K309" s="173"/>
      <c r="L309" s="173"/>
      <c r="M309" s="29"/>
      <c r="N309" s="29"/>
      <c r="O309" s="29"/>
      <c r="P309" s="29"/>
      <c r="Q309" s="29"/>
      <c r="R309" s="29"/>
      <c r="S309" s="29"/>
      <c r="T309" s="29"/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29"/>
      <c r="AF309" s="29"/>
      <c r="AG309" s="29"/>
      <c r="AH309" s="29"/>
      <c r="AI309" s="29"/>
      <c r="AJ309" s="29"/>
      <c r="AK309" s="29"/>
      <c r="AL309" s="29"/>
      <c r="AM309" s="29"/>
      <c r="AN309" s="29"/>
      <c r="AO309" s="29"/>
    </row>
    <row r="310" spans="1:41" customFormat="1" ht="24" customHeight="1" thickBot="1" x14ac:dyDescent="0.3">
      <c r="A310" s="180"/>
      <c r="B310" s="174"/>
      <c r="C310" s="174"/>
      <c r="D310" s="174"/>
      <c r="E310" s="173"/>
      <c r="F310" s="173"/>
      <c r="G310" s="173"/>
      <c r="H310" s="173"/>
      <c r="I310" s="173"/>
      <c r="J310" s="173"/>
      <c r="K310" s="173"/>
      <c r="L310" s="173"/>
      <c r="M310" s="29"/>
      <c r="N310" s="29"/>
      <c r="O310" s="29"/>
      <c r="P310" s="29"/>
      <c r="Q310" s="29"/>
      <c r="R310" s="29"/>
      <c r="S310" s="29"/>
      <c r="T310" s="29"/>
      <c r="U310" s="29"/>
      <c r="V310" s="29"/>
      <c r="W310" s="29"/>
      <c r="X310" s="29"/>
      <c r="Y310" s="29"/>
      <c r="Z310" s="29"/>
      <c r="AA310" s="29"/>
      <c r="AB310" s="29"/>
      <c r="AC310" s="29"/>
      <c r="AD310" s="29"/>
      <c r="AE310" s="29"/>
      <c r="AF310" s="29"/>
      <c r="AG310" s="29"/>
      <c r="AH310" s="29"/>
      <c r="AI310" s="29"/>
      <c r="AJ310" s="29"/>
      <c r="AK310" s="29"/>
      <c r="AL310" s="29"/>
      <c r="AM310" s="29"/>
      <c r="AN310" s="29"/>
      <c r="AO310" s="29"/>
    </row>
    <row r="311" spans="1:41" ht="24" customHeight="1" thickBot="1" x14ac:dyDescent="0.3">
      <c r="A311" s="348" t="s">
        <v>249</v>
      </c>
      <c r="B311" s="349"/>
      <c r="C311" s="349"/>
      <c r="D311" s="350"/>
    </row>
    <row r="312" spans="1:41" ht="32.25" thickBot="1" x14ac:dyDescent="0.3">
      <c r="A312" s="12" t="s">
        <v>3</v>
      </c>
      <c r="B312" s="13" t="s">
        <v>1</v>
      </c>
      <c r="C312" s="27" t="s">
        <v>60</v>
      </c>
      <c r="D312" s="14" t="s">
        <v>4</v>
      </c>
    </row>
    <row r="313" spans="1:41" ht="24" customHeight="1" x14ac:dyDescent="0.25">
      <c r="A313" s="3" t="s">
        <v>234</v>
      </c>
      <c r="B313" s="5">
        <f t="shared" ref="B313:B318" si="87">D142</f>
        <v>218.3298101111111</v>
      </c>
      <c r="C313" s="149">
        <v>0.4</v>
      </c>
      <c r="D313" s="7">
        <f>B313*C313</f>
        <v>87.331924044444449</v>
      </c>
    </row>
    <row r="314" spans="1:41" ht="24" customHeight="1" thickBot="1" x14ac:dyDescent="0.3">
      <c r="A314" s="4" t="s">
        <v>237</v>
      </c>
      <c r="B314" s="6">
        <f t="shared" si="87"/>
        <v>254.71811179629628</v>
      </c>
      <c r="C314" s="71">
        <f>C313</f>
        <v>0.4</v>
      </c>
      <c r="D314" s="8">
        <f t="shared" ref="D314:D318" si="88">B314*C314</f>
        <v>101.88724471851852</v>
      </c>
    </row>
    <row r="315" spans="1:41" ht="24" customHeight="1" x14ac:dyDescent="0.25">
      <c r="A315" s="3" t="s">
        <v>259</v>
      </c>
      <c r="B315" s="5">
        <f t="shared" si="87"/>
        <v>238.21220744444446</v>
      </c>
      <c r="C315" s="149">
        <v>0.4</v>
      </c>
      <c r="D315" s="7">
        <f>B315*C315</f>
        <v>95.284882977777784</v>
      </c>
    </row>
    <row r="316" spans="1:41" ht="24" customHeight="1" thickBot="1" x14ac:dyDescent="0.3">
      <c r="A316" s="2" t="s">
        <v>363</v>
      </c>
      <c r="B316" s="6">
        <f t="shared" si="87"/>
        <v>272.06179040740744</v>
      </c>
      <c r="C316" s="71">
        <f>C315</f>
        <v>0.4</v>
      </c>
      <c r="D316" s="8">
        <f t="shared" ref="D316" si="89">B316*C316</f>
        <v>108.82471616296299</v>
      </c>
    </row>
    <row r="317" spans="1:41" ht="24" customHeight="1" x14ac:dyDescent="0.25">
      <c r="A317" s="3" t="s">
        <v>235</v>
      </c>
      <c r="B317" s="5">
        <f t="shared" si="87"/>
        <v>238.21220744444446</v>
      </c>
      <c r="C317" s="70">
        <v>0.4</v>
      </c>
      <c r="D317" s="7">
        <f t="shared" si="88"/>
        <v>95.284882977777784</v>
      </c>
    </row>
    <row r="318" spans="1:41" ht="24" customHeight="1" thickBot="1" x14ac:dyDescent="0.3">
      <c r="A318" s="2" t="s">
        <v>236</v>
      </c>
      <c r="B318" s="65">
        <f t="shared" si="87"/>
        <v>274.60050912962964</v>
      </c>
      <c r="C318" s="72">
        <v>0.4</v>
      </c>
      <c r="D318" s="67">
        <f t="shared" si="88"/>
        <v>109.84020365185187</v>
      </c>
    </row>
    <row r="319" spans="1:41" ht="24" customHeight="1" thickBot="1" x14ac:dyDescent="0.3"/>
    <row r="320" spans="1:41" customFormat="1" ht="24" customHeight="1" thickBot="1" x14ac:dyDescent="0.3">
      <c r="A320" s="364" t="s">
        <v>71</v>
      </c>
      <c r="B320" s="365"/>
      <c r="C320" s="365"/>
      <c r="D320" s="365"/>
      <c r="E320" s="365"/>
      <c r="F320" s="366"/>
      <c r="G320" s="90"/>
      <c r="H320" s="90"/>
      <c r="I320" s="90"/>
      <c r="J320" s="90"/>
      <c r="K320" s="90"/>
      <c r="L320" s="90"/>
      <c r="M320" s="29"/>
      <c r="N320" s="29"/>
      <c r="O320" s="29"/>
      <c r="P320" s="29"/>
      <c r="Q320" s="29"/>
      <c r="R320" s="29"/>
      <c r="S320" s="29"/>
      <c r="T320" s="29"/>
      <c r="U320" s="29"/>
      <c r="V320" s="29"/>
      <c r="W320" s="29"/>
      <c r="X320" s="29"/>
      <c r="Y320" s="29"/>
      <c r="Z320" s="29"/>
      <c r="AA320" s="29"/>
      <c r="AB320" s="29"/>
      <c r="AC320" s="29"/>
      <c r="AD320" s="29"/>
      <c r="AE320" s="29"/>
      <c r="AF320" s="29"/>
      <c r="AG320" s="29"/>
      <c r="AH320" s="29"/>
      <c r="AI320" s="29"/>
      <c r="AJ320" s="29"/>
      <c r="AK320" s="29"/>
      <c r="AL320" s="29"/>
      <c r="AM320" s="29"/>
      <c r="AN320" s="29"/>
      <c r="AO320" s="29"/>
    </row>
    <row r="321" spans="1:41" customFormat="1" ht="30" customHeight="1" thickBot="1" x14ac:dyDescent="0.3">
      <c r="A321" s="181" t="s">
        <v>3</v>
      </c>
      <c r="B321" s="182" t="s">
        <v>1</v>
      </c>
      <c r="C321" s="182" t="s">
        <v>250</v>
      </c>
      <c r="D321" s="183" t="s">
        <v>245</v>
      </c>
      <c r="E321" s="183" t="s">
        <v>2</v>
      </c>
      <c r="F321" s="184" t="s">
        <v>4</v>
      </c>
      <c r="G321" s="90"/>
      <c r="H321" s="90"/>
      <c r="I321" s="90"/>
      <c r="J321" s="90"/>
      <c r="K321" s="90"/>
      <c r="L321" s="90"/>
      <c r="M321" s="29"/>
      <c r="N321" s="29"/>
      <c r="O321" s="29"/>
      <c r="P321" s="29"/>
      <c r="Q321" s="29"/>
      <c r="R321" s="29"/>
      <c r="S321" s="29"/>
      <c r="T321" s="29"/>
      <c r="U321" s="29"/>
      <c r="V321" s="29"/>
      <c r="W321" s="29"/>
      <c r="X321" s="29"/>
      <c r="Y321" s="29"/>
      <c r="Z321" s="29"/>
      <c r="AA321" s="29"/>
      <c r="AB321" s="29"/>
      <c r="AC321" s="29"/>
      <c r="AD321" s="29"/>
      <c r="AE321" s="29"/>
      <c r="AF321" s="29"/>
      <c r="AG321" s="29"/>
      <c r="AH321" s="29"/>
      <c r="AI321" s="29"/>
      <c r="AJ321" s="29"/>
      <c r="AK321" s="29"/>
      <c r="AL321" s="29"/>
      <c r="AM321" s="29"/>
      <c r="AN321" s="29"/>
      <c r="AO321" s="29"/>
    </row>
    <row r="322" spans="1:41" customFormat="1" ht="24" customHeight="1" x14ac:dyDescent="0.25">
      <c r="A322" s="3" t="s">
        <v>234</v>
      </c>
      <c r="B322" s="5">
        <f t="shared" ref="B322:C325" si="90">B304</f>
        <v>3352.9454263888888</v>
      </c>
      <c r="C322" s="5">
        <f t="shared" si="90"/>
        <v>1086.1908053027778</v>
      </c>
      <c r="D322" s="5">
        <f t="shared" ref="D322:D327" si="91">D313</f>
        <v>87.331924044444449</v>
      </c>
      <c r="E322" s="81">
        <f>B266</f>
        <v>1.9400000000000001E-2</v>
      </c>
      <c r="F322" s="7">
        <f t="shared" ref="F322" si="92">(B322+C322+D322)*E322</f>
        <v>87.813482221280552</v>
      </c>
      <c r="G322" s="173"/>
      <c r="H322" s="173"/>
      <c r="I322" s="173"/>
      <c r="J322" s="173"/>
      <c r="K322" s="173"/>
      <c r="L322" s="173"/>
      <c r="M322" s="29"/>
      <c r="N322" s="29"/>
      <c r="O322" s="29"/>
      <c r="P322" s="29"/>
      <c r="Q322" s="29"/>
      <c r="R322" s="29"/>
      <c r="S322" s="29"/>
      <c r="T322" s="29"/>
      <c r="U322" s="29"/>
      <c r="V322" s="29"/>
      <c r="W322" s="29"/>
      <c r="X322" s="29"/>
      <c r="Y322" s="29"/>
      <c r="Z322" s="29"/>
      <c r="AA322" s="29"/>
      <c r="AB322" s="29"/>
      <c r="AC322" s="29"/>
      <c r="AD322" s="29"/>
      <c r="AE322" s="29"/>
      <c r="AF322" s="29"/>
      <c r="AG322" s="29"/>
      <c r="AH322" s="29"/>
      <c r="AI322" s="29"/>
      <c r="AJ322" s="29"/>
      <c r="AK322" s="29"/>
      <c r="AL322" s="29"/>
      <c r="AM322" s="29"/>
      <c r="AN322" s="29"/>
      <c r="AO322" s="29"/>
    </row>
    <row r="323" spans="1:41" customFormat="1" ht="24" customHeight="1" thickBot="1" x14ac:dyDescent="0.3">
      <c r="A323" s="4" t="s">
        <v>237</v>
      </c>
      <c r="B323" s="65">
        <f t="shared" si="90"/>
        <v>3807.7991974537035</v>
      </c>
      <c r="C323" s="65">
        <f t="shared" si="90"/>
        <v>1267.2226061865742</v>
      </c>
      <c r="D323" s="65">
        <f t="shared" si="91"/>
        <v>101.88724471851852</v>
      </c>
      <c r="E323" s="80">
        <f>B266</f>
        <v>1.9400000000000001E-2</v>
      </c>
      <c r="F323" s="67">
        <f t="shared" ref="F323:F327" si="93">(B323+C323+D323)*E323</f>
        <v>100.43203553816065</v>
      </c>
      <c r="G323" s="173"/>
      <c r="H323" s="173"/>
      <c r="I323" s="173"/>
      <c r="J323" s="173"/>
      <c r="K323" s="173"/>
      <c r="L323" s="173"/>
      <c r="M323" s="29"/>
      <c r="N323" s="29"/>
      <c r="O323" s="29"/>
      <c r="P323" s="29"/>
      <c r="Q323" s="29"/>
      <c r="R323" s="29"/>
      <c r="S323" s="29"/>
      <c r="T323" s="29"/>
      <c r="U323" s="29"/>
      <c r="V323" s="29"/>
      <c r="W323" s="29"/>
      <c r="X323" s="29"/>
      <c r="Y323" s="29"/>
      <c r="Z323" s="29"/>
      <c r="AA323" s="29"/>
      <c r="AB323" s="29"/>
      <c r="AC323" s="29"/>
      <c r="AD323" s="29"/>
      <c r="AE323" s="29"/>
      <c r="AF323" s="29"/>
      <c r="AG323" s="29"/>
      <c r="AH323" s="29"/>
      <c r="AI323" s="29"/>
      <c r="AJ323" s="29"/>
      <c r="AK323" s="29"/>
      <c r="AL323" s="29"/>
      <c r="AM323" s="29"/>
      <c r="AN323" s="29"/>
      <c r="AO323" s="29"/>
    </row>
    <row r="324" spans="1:41" customFormat="1" ht="24" customHeight="1" x14ac:dyDescent="0.25">
      <c r="A324" s="3" t="s">
        <v>259</v>
      </c>
      <c r="B324" s="5">
        <f t="shared" si="90"/>
        <v>3601.4753930555557</v>
      </c>
      <c r="C324" s="5">
        <f t="shared" si="90"/>
        <v>1185.1057320361115</v>
      </c>
      <c r="D324" s="5">
        <f t="shared" si="91"/>
        <v>95.284882977777784</v>
      </c>
      <c r="E324" s="81">
        <f>B266</f>
        <v>1.9400000000000001E-2</v>
      </c>
      <c r="F324" s="7">
        <f t="shared" si="93"/>
        <v>94.708200556547226</v>
      </c>
      <c r="G324" s="173"/>
      <c r="H324" s="173"/>
      <c r="I324" s="173"/>
      <c r="J324" s="173"/>
      <c r="K324" s="173"/>
      <c r="L324" s="173"/>
      <c r="M324" s="29"/>
      <c r="N324" s="29"/>
      <c r="O324" s="29"/>
      <c r="P324" s="29"/>
      <c r="Q324" s="29"/>
      <c r="R324" s="29"/>
      <c r="S324" s="29"/>
      <c r="T324" s="29"/>
      <c r="U324" s="29"/>
      <c r="V324" s="29"/>
      <c r="W324" s="29"/>
      <c r="X324" s="29"/>
      <c r="Y324" s="29"/>
      <c r="Z324" s="29"/>
      <c r="AA324" s="29"/>
      <c r="AB324" s="29"/>
      <c r="AC324" s="29"/>
      <c r="AD324" s="29"/>
      <c r="AE324" s="29"/>
      <c r="AF324" s="29"/>
      <c r="AG324" s="29"/>
      <c r="AH324" s="29"/>
      <c r="AI324" s="29"/>
      <c r="AJ324" s="29"/>
      <c r="AK324" s="29"/>
      <c r="AL324" s="29"/>
      <c r="AM324" s="29"/>
      <c r="AN324" s="29"/>
      <c r="AO324" s="29"/>
    </row>
    <row r="325" spans="1:41" customFormat="1" ht="24" customHeight="1" thickBot="1" x14ac:dyDescent="0.3">
      <c r="A325" s="2" t="s">
        <v>363</v>
      </c>
      <c r="B325" s="65">
        <f t="shared" si="90"/>
        <v>4024.5951800925927</v>
      </c>
      <c r="C325" s="65">
        <f t="shared" si="90"/>
        <v>1353.5074072768521</v>
      </c>
      <c r="D325" s="65">
        <f t="shared" si="91"/>
        <v>108.82471616296299</v>
      </c>
      <c r="E325" s="80">
        <f>B266</f>
        <v>1.9400000000000001E-2</v>
      </c>
      <c r="F325" s="67">
        <f t="shared" ref="F325" si="94">(B325+C325+D325)*E325</f>
        <v>106.44638968852873</v>
      </c>
      <c r="G325" s="173"/>
      <c r="H325" s="173"/>
      <c r="I325" s="173"/>
      <c r="J325" s="173"/>
      <c r="K325" s="173"/>
      <c r="L325" s="173"/>
      <c r="M325" s="29"/>
      <c r="N325" s="29"/>
      <c r="O325" s="29"/>
      <c r="P325" s="29"/>
      <c r="Q325" s="29"/>
      <c r="R325" s="29"/>
      <c r="S325" s="29"/>
      <c r="T325" s="29"/>
      <c r="U325" s="29"/>
      <c r="V325" s="29"/>
      <c r="W325" s="29"/>
      <c r="X325" s="29"/>
      <c r="Y325" s="29"/>
      <c r="Z325" s="29"/>
      <c r="AA325" s="29"/>
      <c r="AB325" s="29"/>
      <c r="AC325" s="29"/>
      <c r="AD325" s="29"/>
      <c r="AE325" s="29"/>
      <c r="AF325" s="29"/>
      <c r="AG325" s="29"/>
      <c r="AH325" s="29"/>
      <c r="AI325" s="29"/>
      <c r="AJ325" s="29"/>
      <c r="AK325" s="29"/>
      <c r="AL325" s="29"/>
      <c r="AM325" s="29"/>
      <c r="AN325" s="29"/>
      <c r="AO325" s="29"/>
    </row>
    <row r="326" spans="1:41" customFormat="1" ht="24" customHeight="1" x14ac:dyDescent="0.25">
      <c r="A326" s="3" t="s">
        <v>235</v>
      </c>
      <c r="B326" s="10">
        <f t="shared" ref="B326:C327" si="95">B308</f>
        <v>3601.4753930555557</v>
      </c>
      <c r="C326" s="10">
        <f t="shared" si="95"/>
        <v>1185.1057320361115</v>
      </c>
      <c r="D326" s="10">
        <f t="shared" si="91"/>
        <v>95.284882977777784</v>
      </c>
      <c r="E326" s="185">
        <f>B266</f>
        <v>1.9400000000000001E-2</v>
      </c>
      <c r="F326" s="9">
        <f t="shared" si="93"/>
        <v>94.708200556547226</v>
      </c>
      <c r="G326" s="173"/>
      <c r="H326" s="173"/>
      <c r="I326" s="173"/>
      <c r="J326" s="173"/>
      <c r="K326" s="173"/>
      <c r="L326" s="173"/>
      <c r="M326" s="29"/>
      <c r="N326" s="29"/>
      <c r="O326" s="29"/>
      <c r="P326" s="29"/>
      <c r="Q326" s="29"/>
      <c r="R326" s="29"/>
      <c r="S326" s="29"/>
      <c r="T326" s="29"/>
      <c r="U326" s="29"/>
      <c r="V326" s="29"/>
      <c r="W326" s="29"/>
      <c r="X326" s="29"/>
      <c r="Y326" s="29"/>
      <c r="Z326" s="29"/>
      <c r="AA326" s="29"/>
      <c r="AB326" s="29"/>
      <c r="AC326" s="29"/>
      <c r="AD326" s="29"/>
      <c r="AE326" s="29"/>
      <c r="AF326" s="29"/>
      <c r="AG326" s="29"/>
      <c r="AH326" s="29"/>
      <c r="AI326" s="29"/>
      <c r="AJ326" s="29"/>
      <c r="AK326" s="29"/>
      <c r="AL326" s="29"/>
      <c r="AM326" s="29"/>
      <c r="AN326" s="29"/>
      <c r="AO326" s="29"/>
    </row>
    <row r="327" spans="1:41" customFormat="1" ht="24" customHeight="1" thickBot="1" x14ac:dyDescent="0.3">
      <c r="A327" s="4" t="s">
        <v>236</v>
      </c>
      <c r="B327" s="65">
        <f t="shared" si="95"/>
        <v>4056.3291641203705</v>
      </c>
      <c r="C327" s="65">
        <f t="shared" si="95"/>
        <v>1366.1375329199077</v>
      </c>
      <c r="D327" s="65">
        <f t="shared" si="91"/>
        <v>109.84020365185187</v>
      </c>
      <c r="E327" s="80">
        <f>B266</f>
        <v>1.9400000000000001E-2</v>
      </c>
      <c r="F327" s="67">
        <f t="shared" si="93"/>
        <v>107.32675387342732</v>
      </c>
      <c r="G327" s="173"/>
      <c r="H327" s="173"/>
      <c r="I327" s="173"/>
      <c r="J327" s="173"/>
      <c r="K327" s="173"/>
      <c r="L327" s="173"/>
      <c r="M327" s="29"/>
      <c r="N327" s="29"/>
      <c r="O327" s="29"/>
      <c r="P327" s="29"/>
      <c r="Q327" s="29"/>
      <c r="R327" s="29"/>
      <c r="S327" s="29"/>
      <c r="T327" s="29"/>
      <c r="U327" s="29"/>
      <c r="V327" s="29"/>
      <c r="W327" s="29"/>
      <c r="X327" s="29"/>
      <c r="Y327" s="29"/>
      <c r="Z327" s="29"/>
      <c r="AA327" s="29"/>
      <c r="AB327" s="29"/>
      <c r="AC327" s="29"/>
      <c r="AD327" s="29"/>
      <c r="AE327" s="29"/>
      <c r="AF327" s="29"/>
      <c r="AG327" s="29"/>
      <c r="AH327" s="29"/>
      <c r="AI327" s="29"/>
      <c r="AJ327" s="29"/>
      <c r="AK327" s="29"/>
      <c r="AL327" s="29"/>
      <c r="AM327" s="29"/>
      <c r="AN327" s="29"/>
      <c r="AO327" s="29"/>
    </row>
    <row r="329" spans="1:41" ht="24" customHeight="1" x14ac:dyDescent="0.25">
      <c r="A329" s="356" t="s">
        <v>63</v>
      </c>
      <c r="B329" s="357"/>
      <c r="C329" s="357"/>
      <c r="D329" s="357"/>
      <c r="E329" s="357"/>
      <c r="F329" s="357"/>
      <c r="G329" s="357"/>
      <c r="H329" s="357"/>
    </row>
    <row r="330" spans="1:41" ht="24" customHeight="1" thickBot="1" x14ac:dyDescent="0.3"/>
    <row r="331" spans="1:41" ht="24" customHeight="1" thickBot="1" x14ac:dyDescent="0.3">
      <c r="A331" s="345" t="s">
        <v>66</v>
      </c>
      <c r="B331" s="346"/>
      <c r="C331" s="346"/>
      <c r="D331" s="346"/>
      <c r="E331" s="347"/>
    </row>
    <row r="332" spans="1:41" ht="31.5" customHeight="1" thickBot="1" x14ac:dyDescent="0.3">
      <c r="A332" s="12" t="s">
        <v>3</v>
      </c>
      <c r="B332" s="15" t="s">
        <v>128</v>
      </c>
      <c r="C332" s="15" t="s">
        <v>65</v>
      </c>
      <c r="D332" s="15" t="s">
        <v>64</v>
      </c>
      <c r="E332" s="14" t="s">
        <v>4</v>
      </c>
    </row>
    <row r="333" spans="1:41" ht="24" customHeight="1" x14ac:dyDescent="0.25">
      <c r="A333" s="3" t="s">
        <v>234</v>
      </c>
      <c r="B333" s="32">
        <f t="shared" ref="B333:B338" si="96">-D82</f>
        <v>-190.40390416666665</v>
      </c>
      <c r="C333" s="32">
        <f t="shared" ref="C333:C338" si="97">-D91</f>
        <v>-190.40390416666665</v>
      </c>
      <c r="D333" s="32">
        <f t="shared" ref="D333:D338" si="98">-E100</f>
        <v>-63.467968055555545</v>
      </c>
      <c r="E333" s="33">
        <f t="shared" ref="E333:E338" si="99">SUM(B333:D333)</f>
        <v>-444.27577638888886</v>
      </c>
    </row>
    <row r="334" spans="1:41" ht="24" customHeight="1" thickBot="1" x14ac:dyDescent="0.3">
      <c r="A334" s="4" t="s">
        <v>237</v>
      </c>
      <c r="B334" s="30">
        <f t="shared" si="96"/>
        <v>-222.13788819444443</v>
      </c>
      <c r="C334" s="30">
        <f t="shared" si="97"/>
        <v>-222.13788819444443</v>
      </c>
      <c r="D334" s="30">
        <f t="shared" si="98"/>
        <v>-74.045962731481467</v>
      </c>
      <c r="E334" s="31">
        <f t="shared" si="99"/>
        <v>-518.32173912037035</v>
      </c>
    </row>
    <row r="335" spans="1:41" ht="24" customHeight="1" x14ac:dyDescent="0.25">
      <c r="A335" s="3" t="s">
        <v>259</v>
      </c>
      <c r="B335" s="32">
        <f t="shared" si="96"/>
        <v>-207.74320416666666</v>
      </c>
      <c r="C335" s="32">
        <f t="shared" si="97"/>
        <v>-207.74320416666666</v>
      </c>
      <c r="D335" s="32">
        <f t="shared" si="98"/>
        <v>-69.247734722222219</v>
      </c>
      <c r="E335" s="33">
        <f t="shared" ref="E335:E336" si="100">SUM(B335:D335)</f>
        <v>-484.73414305555553</v>
      </c>
    </row>
    <row r="336" spans="1:41" ht="24" customHeight="1" thickBot="1" x14ac:dyDescent="0.3">
      <c r="A336" s="2" t="s">
        <v>363</v>
      </c>
      <c r="B336" s="30">
        <f t="shared" si="96"/>
        <v>-239.47718819444447</v>
      </c>
      <c r="C336" s="30">
        <f t="shared" si="97"/>
        <v>-207.74320416666666</v>
      </c>
      <c r="D336" s="30">
        <f t="shared" si="98"/>
        <v>-79.825729398148155</v>
      </c>
      <c r="E336" s="31">
        <f t="shared" si="100"/>
        <v>-527.04612175925922</v>
      </c>
    </row>
    <row r="337" spans="1:8" ht="24" customHeight="1" x14ac:dyDescent="0.25">
      <c r="A337" s="3" t="s">
        <v>235</v>
      </c>
      <c r="B337" s="32">
        <f t="shared" si="96"/>
        <v>-207.74320416666666</v>
      </c>
      <c r="C337" s="32">
        <f t="shared" si="97"/>
        <v>-207.74320416666666</v>
      </c>
      <c r="D337" s="32">
        <f t="shared" si="98"/>
        <v>-69.247734722222219</v>
      </c>
      <c r="E337" s="33">
        <f t="shared" si="99"/>
        <v>-484.73414305555553</v>
      </c>
    </row>
    <row r="338" spans="1:8" ht="24" customHeight="1" thickBot="1" x14ac:dyDescent="0.3">
      <c r="A338" s="2" t="s">
        <v>236</v>
      </c>
      <c r="B338" s="66">
        <f t="shared" si="96"/>
        <v>-239.47718819444447</v>
      </c>
      <c r="C338" s="66">
        <f t="shared" si="97"/>
        <v>-239.47718819444447</v>
      </c>
      <c r="D338" s="66">
        <f t="shared" si="98"/>
        <v>-79.825729398148155</v>
      </c>
      <c r="E338" s="237">
        <f t="shared" si="99"/>
        <v>-558.78010578703709</v>
      </c>
    </row>
    <row r="339" spans="1:8" ht="24" customHeight="1" thickBot="1" x14ac:dyDescent="0.3"/>
    <row r="340" spans="1:8" ht="24" customHeight="1" thickBot="1" x14ac:dyDescent="0.3">
      <c r="A340" s="353" t="s">
        <v>67</v>
      </c>
      <c r="B340" s="354"/>
      <c r="C340" s="354"/>
      <c r="D340" s="355"/>
    </row>
    <row r="341" spans="1:8" ht="24" customHeight="1" thickBot="1" x14ac:dyDescent="0.3">
      <c r="A341" s="12" t="s">
        <v>3</v>
      </c>
      <c r="B341" s="13" t="s">
        <v>7</v>
      </c>
      <c r="C341" s="13" t="s">
        <v>2</v>
      </c>
      <c r="D341" s="14" t="s">
        <v>4</v>
      </c>
    </row>
    <row r="342" spans="1:8" ht="24" customHeight="1" x14ac:dyDescent="0.25">
      <c r="A342" s="3" t="s">
        <v>234</v>
      </c>
      <c r="B342" s="32">
        <f t="shared" ref="B342:B347" si="101">E333</f>
        <v>-444.27577638888886</v>
      </c>
      <c r="C342" s="81">
        <f>$B$267</f>
        <v>0</v>
      </c>
      <c r="D342" s="33">
        <f>B342*C342</f>
        <v>0</v>
      </c>
    </row>
    <row r="343" spans="1:8" ht="24" customHeight="1" thickBot="1" x14ac:dyDescent="0.3">
      <c r="A343" s="4" t="s">
        <v>237</v>
      </c>
      <c r="B343" s="30">
        <f t="shared" si="101"/>
        <v>-518.32173912037035</v>
      </c>
      <c r="C343" s="79">
        <f t="shared" ref="C343:C347" si="102">$B$267</f>
        <v>0</v>
      </c>
      <c r="D343" s="31">
        <f t="shared" ref="D343:D347" si="103">B343*C343</f>
        <v>0</v>
      </c>
    </row>
    <row r="344" spans="1:8" ht="24" customHeight="1" x14ac:dyDescent="0.25">
      <c r="A344" s="3" t="s">
        <v>259</v>
      </c>
      <c r="B344" s="32">
        <f t="shared" si="101"/>
        <v>-484.73414305555553</v>
      </c>
      <c r="C344" s="81">
        <f>$B$267</f>
        <v>0</v>
      </c>
      <c r="D344" s="33">
        <f>B344*C344</f>
        <v>0</v>
      </c>
    </row>
    <row r="345" spans="1:8" ht="24" customHeight="1" thickBot="1" x14ac:dyDescent="0.3">
      <c r="A345" s="2" t="s">
        <v>363</v>
      </c>
      <c r="B345" s="30">
        <f t="shared" si="101"/>
        <v>-527.04612175925922</v>
      </c>
      <c r="C345" s="79">
        <f t="shared" si="102"/>
        <v>0</v>
      </c>
      <c r="D345" s="31">
        <f t="shared" ref="D345" si="104">B345*C345</f>
        <v>0</v>
      </c>
    </row>
    <row r="346" spans="1:8" ht="24" customHeight="1" x14ac:dyDescent="0.25">
      <c r="A346" s="3" t="s">
        <v>235</v>
      </c>
      <c r="B346" s="32">
        <f t="shared" si="101"/>
        <v>-484.73414305555553</v>
      </c>
      <c r="C346" s="81">
        <f t="shared" si="102"/>
        <v>0</v>
      </c>
      <c r="D346" s="33">
        <f t="shared" si="103"/>
        <v>0</v>
      </c>
    </row>
    <row r="347" spans="1:8" ht="24" customHeight="1" thickBot="1" x14ac:dyDescent="0.3">
      <c r="A347" s="2" t="s">
        <v>236</v>
      </c>
      <c r="B347" s="66">
        <f t="shared" si="101"/>
        <v>-558.78010578703709</v>
      </c>
      <c r="C347" s="80">
        <f t="shared" si="102"/>
        <v>0</v>
      </c>
      <c r="D347" s="237">
        <f t="shared" si="103"/>
        <v>0</v>
      </c>
    </row>
    <row r="349" spans="1:8" ht="24" customHeight="1" x14ac:dyDescent="0.25">
      <c r="A349" s="351" t="s">
        <v>47</v>
      </c>
      <c r="B349" s="351"/>
      <c r="C349" s="351"/>
      <c r="D349" s="351"/>
      <c r="E349" s="351"/>
      <c r="F349" s="351"/>
      <c r="G349" s="351"/>
      <c r="H349" s="351"/>
    </row>
    <row r="350" spans="1:8" ht="24" customHeight="1" thickBot="1" x14ac:dyDescent="0.3"/>
    <row r="351" spans="1:8" ht="24" customHeight="1" thickBot="1" x14ac:dyDescent="0.3">
      <c r="A351" s="345" t="s">
        <v>47</v>
      </c>
      <c r="B351" s="346"/>
      <c r="C351" s="346"/>
      <c r="D351" s="346"/>
      <c r="E351" s="347"/>
    </row>
    <row r="352" spans="1:8" ht="24" customHeight="1" thickBot="1" x14ac:dyDescent="0.3">
      <c r="A352" s="12" t="s">
        <v>3</v>
      </c>
      <c r="B352" s="13" t="s">
        <v>68</v>
      </c>
      <c r="C352" s="13" t="s">
        <v>69</v>
      </c>
      <c r="D352" s="13" t="s">
        <v>70</v>
      </c>
      <c r="E352" s="14" t="s">
        <v>12</v>
      </c>
    </row>
    <row r="353" spans="1:8" ht="24" customHeight="1" x14ac:dyDescent="0.25">
      <c r="A353" s="3" t="s">
        <v>234</v>
      </c>
      <c r="B353" s="5">
        <f t="shared" ref="B353:B358" si="105">F293</f>
        <v>12.746094314286664</v>
      </c>
      <c r="C353" s="5">
        <f t="shared" ref="C353:C358" si="106">F322</f>
        <v>87.813482221280552</v>
      </c>
      <c r="D353" s="32">
        <f>D342</f>
        <v>0</v>
      </c>
      <c r="E353" s="7">
        <f t="shared" ref="E353:E358" si="107">SUM(B353:D353)</f>
        <v>100.55957653556722</v>
      </c>
    </row>
    <row r="354" spans="1:8" ht="24" customHeight="1" thickBot="1" x14ac:dyDescent="0.3">
      <c r="A354" s="2" t="s">
        <v>237</v>
      </c>
      <c r="B354" s="65">
        <f t="shared" si="105"/>
        <v>14.870443366667777</v>
      </c>
      <c r="C354" s="65">
        <f t="shared" si="106"/>
        <v>100.43203553816065</v>
      </c>
      <c r="D354" s="66">
        <f>D343</f>
        <v>0</v>
      </c>
      <c r="E354" s="67">
        <f t="shared" si="107"/>
        <v>115.30247890482842</v>
      </c>
    </row>
    <row r="355" spans="1:8" ht="24" customHeight="1" x14ac:dyDescent="0.25">
      <c r="A355" s="3" t="s">
        <v>259</v>
      </c>
      <c r="B355" s="5">
        <f t="shared" si="105"/>
        <v>13.906828670606668</v>
      </c>
      <c r="C355" s="5">
        <f t="shared" si="106"/>
        <v>94.708200556547226</v>
      </c>
      <c r="D355" s="32">
        <f>D346</f>
        <v>0</v>
      </c>
      <c r="E355" s="7">
        <f t="shared" ref="E355:E356" si="108">SUM(B355:D355)</f>
        <v>108.6150292271539</v>
      </c>
    </row>
    <row r="356" spans="1:8" ht="24" customHeight="1" thickBot="1" x14ac:dyDescent="0.3">
      <c r="A356" s="2" t="s">
        <v>363</v>
      </c>
      <c r="B356" s="65">
        <f t="shared" si="105"/>
        <v>15.882967323984444</v>
      </c>
      <c r="C356" s="65">
        <f t="shared" si="106"/>
        <v>106.44638968852873</v>
      </c>
      <c r="D356" s="66">
        <f>D347</f>
        <v>0</v>
      </c>
      <c r="E356" s="67">
        <f t="shared" si="108"/>
        <v>122.32935701251317</v>
      </c>
    </row>
    <row r="357" spans="1:8" ht="24" customHeight="1" x14ac:dyDescent="0.25">
      <c r="A357" s="3" t="s">
        <v>235</v>
      </c>
      <c r="B357" s="5">
        <f t="shared" si="105"/>
        <v>13.906828670606668</v>
      </c>
      <c r="C357" s="5">
        <f t="shared" si="106"/>
        <v>94.708200556547226</v>
      </c>
      <c r="D357" s="32">
        <f>D346</f>
        <v>0</v>
      </c>
      <c r="E357" s="7">
        <f t="shared" si="107"/>
        <v>108.6150292271539</v>
      </c>
    </row>
    <row r="358" spans="1:8" ht="24" customHeight="1" thickBot="1" x14ac:dyDescent="0.3">
      <c r="A358" s="2" t="s">
        <v>236</v>
      </c>
      <c r="B358" s="65">
        <f t="shared" si="105"/>
        <v>16.031177722987778</v>
      </c>
      <c r="C358" s="65">
        <f t="shared" si="106"/>
        <v>107.32675387342732</v>
      </c>
      <c r="D358" s="66">
        <f>D347</f>
        <v>0</v>
      </c>
      <c r="E358" s="67">
        <f t="shared" si="107"/>
        <v>123.3579315964151</v>
      </c>
    </row>
    <row r="360" spans="1:8" ht="24" customHeight="1" x14ac:dyDescent="0.25">
      <c r="A360" s="351" t="s">
        <v>72</v>
      </c>
      <c r="B360" s="351"/>
      <c r="C360" s="351"/>
      <c r="D360" s="351"/>
      <c r="E360" s="351"/>
      <c r="F360" s="351"/>
      <c r="G360" s="351"/>
      <c r="H360" s="351"/>
    </row>
    <row r="361" spans="1:8" ht="24" customHeight="1" thickBot="1" x14ac:dyDescent="0.3"/>
    <row r="362" spans="1:8" ht="32.450000000000003" customHeight="1" thickBot="1" x14ac:dyDescent="0.3">
      <c r="A362" s="348" t="s">
        <v>136</v>
      </c>
      <c r="B362" s="349"/>
      <c r="C362" s="349"/>
      <c r="D362" s="349"/>
      <c r="E362" s="350"/>
    </row>
    <row r="363" spans="1:8" ht="24" customHeight="1" thickBot="1" x14ac:dyDescent="0.3">
      <c r="A363" s="348" t="s">
        <v>76</v>
      </c>
      <c r="B363" s="349"/>
      <c r="C363" s="349"/>
      <c r="D363" s="349"/>
      <c r="E363" s="350"/>
    </row>
    <row r="364" spans="1:8" ht="24" customHeight="1" thickBot="1" x14ac:dyDescent="0.3">
      <c r="A364" s="367" t="s">
        <v>3</v>
      </c>
      <c r="B364" s="367" t="s">
        <v>77</v>
      </c>
      <c r="C364" s="367" t="s">
        <v>78</v>
      </c>
      <c r="D364" s="348" t="s">
        <v>79</v>
      </c>
      <c r="E364" s="350"/>
    </row>
    <row r="365" spans="1:8" ht="29.25" customHeight="1" thickBot="1" x14ac:dyDescent="0.3">
      <c r="A365" s="368"/>
      <c r="B365" s="368"/>
      <c r="C365" s="368"/>
      <c r="D365" s="53" t="s">
        <v>80</v>
      </c>
      <c r="E365" s="53" t="s">
        <v>81</v>
      </c>
    </row>
    <row r="366" spans="1:8" ht="24" customHeight="1" x14ac:dyDescent="0.25">
      <c r="A366" s="40" t="s">
        <v>16</v>
      </c>
      <c r="B366" s="41">
        <v>1</v>
      </c>
      <c r="C366" s="42">
        <v>30</v>
      </c>
      <c r="D366" s="43">
        <v>0.5</v>
      </c>
      <c r="E366" s="327">
        <f>(B366*C366)*D366</f>
        <v>15</v>
      </c>
    </row>
    <row r="367" spans="1:8" ht="24" customHeight="1" x14ac:dyDescent="0.25">
      <c r="A367" s="23" t="s">
        <v>82</v>
      </c>
      <c r="B367" s="44">
        <v>1</v>
      </c>
      <c r="C367" s="45">
        <v>1</v>
      </c>
      <c r="D367" s="46">
        <v>1</v>
      </c>
      <c r="E367" s="328">
        <f t="shared" ref="E367:E377" si="109">(B367*C367)*D367</f>
        <v>1</v>
      </c>
    </row>
    <row r="368" spans="1:8" ht="24" customHeight="1" x14ac:dyDescent="0.25">
      <c r="A368" s="23" t="s">
        <v>83</v>
      </c>
      <c r="B368" s="44">
        <v>9.2200000000000004E-2</v>
      </c>
      <c r="C368" s="45">
        <v>15</v>
      </c>
      <c r="D368" s="46">
        <v>0.5</v>
      </c>
      <c r="E368" s="328">
        <f t="shared" si="109"/>
        <v>0.6915</v>
      </c>
    </row>
    <row r="369" spans="1:5" ht="24" customHeight="1" x14ac:dyDescent="0.25">
      <c r="A369" s="23" t="s">
        <v>84</v>
      </c>
      <c r="B369" s="44">
        <v>1</v>
      </c>
      <c r="C369" s="45">
        <v>5</v>
      </c>
      <c r="D369" s="46">
        <v>0.5</v>
      </c>
      <c r="E369" s="328">
        <f t="shared" si="109"/>
        <v>2.5</v>
      </c>
    </row>
    <row r="370" spans="1:5" ht="24" customHeight="1" x14ac:dyDescent="0.25">
      <c r="A370" s="23" t="s">
        <v>85</v>
      </c>
      <c r="B370" s="44">
        <v>0.1522</v>
      </c>
      <c r="C370" s="45">
        <v>2</v>
      </c>
      <c r="D370" s="46">
        <v>1</v>
      </c>
      <c r="E370" s="328">
        <f t="shared" si="109"/>
        <v>0.3044</v>
      </c>
    </row>
    <row r="371" spans="1:5" ht="24" customHeight="1" x14ac:dyDescent="0.25">
      <c r="A371" s="23" t="s">
        <v>86</v>
      </c>
      <c r="B371" s="44">
        <v>3.09E-2</v>
      </c>
      <c r="C371" s="45">
        <v>2</v>
      </c>
      <c r="D371" s="46">
        <v>0.5</v>
      </c>
      <c r="E371" s="328">
        <f t="shared" si="109"/>
        <v>3.09E-2</v>
      </c>
    </row>
    <row r="372" spans="1:5" ht="24" customHeight="1" x14ac:dyDescent="0.25">
      <c r="A372" s="23" t="s">
        <v>87</v>
      </c>
      <c r="B372" s="44">
        <v>1.23E-2</v>
      </c>
      <c r="C372" s="45">
        <v>3</v>
      </c>
      <c r="D372" s="46">
        <v>0.5</v>
      </c>
      <c r="E372" s="328">
        <f t="shared" si="109"/>
        <v>1.8450000000000001E-2</v>
      </c>
    </row>
    <row r="373" spans="1:5" ht="24" customHeight="1" x14ac:dyDescent="0.25">
      <c r="A373" s="23" t="s">
        <v>88</v>
      </c>
      <c r="B373" s="44">
        <v>0.02</v>
      </c>
      <c r="C373" s="45">
        <v>1</v>
      </c>
      <c r="D373" s="46">
        <v>1</v>
      </c>
      <c r="E373" s="328">
        <f t="shared" si="109"/>
        <v>0.02</v>
      </c>
    </row>
    <row r="374" spans="1:5" ht="24" customHeight="1" x14ac:dyDescent="0.25">
      <c r="A374" s="23" t="s">
        <v>89</v>
      </c>
      <c r="B374" s="44">
        <v>4.0000000000000001E-3</v>
      </c>
      <c r="C374" s="45">
        <v>1</v>
      </c>
      <c r="D374" s="46">
        <v>1</v>
      </c>
      <c r="E374" s="328">
        <f t="shared" si="109"/>
        <v>4.0000000000000001E-3</v>
      </c>
    </row>
    <row r="375" spans="1:5" ht="24" customHeight="1" x14ac:dyDescent="0.25">
      <c r="A375" s="23" t="s">
        <v>90</v>
      </c>
      <c r="B375" s="44">
        <v>3.2099999999999997E-2</v>
      </c>
      <c r="C375" s="45">
        <v>20</v>
      </c>
      <c r="D375" s="46">
        <v>0.5</v>
      </c>
      <c r="E375" s="328">
        <f t="shared" si="109"/>
        <v>0.32099999999999995</v>
      </c>
    </row>
    <row r="376" spans="1:5" ht="24" customHeight="1" x14ac:dyDescent="0.25">
      <c r="A376" s="23" t="s">
        <v>91</v>
      </c>
      <c r="B376" s="44">
        <v>2.8E-3</v>
      </c>
      <c r="C376" s="45">
        <v>180</v>
      </c>
      <c r="D376" s="46">
        <v>0.5</v>
      </c>
      <c r="E376" s="328">
        <f t="shared" si="109"/>
        <v>0.252</v>
      </c>
    </row>
    <row r="377" spans="1:5" ht="24" customHeight="1" thickBot="1" x14ac:dyDescent="0.3">
      <c r="A377" s="47" t="s">
        <v>92</v>
      </c>
      <c r="B377" s="64">
        <v>2.0000000000000001E-4</v>
      </c>
      <c r="C377" s="48">
        <v>6</v>
      </c>
      <c r="D377" s="49">
        <v>1</v>
      </c>
      <c r="E377" s="329">
        <f t="shared" si="109"/>
        <v>1.2000000000000001E-3</v>
      </c>
    </row>
    <row r="378" spans="1:5" ht="24" customHeight="1" thickBot="1" x14ac:dyDescent="0.3"/>
    <row r="379" spans="1:5" ht="32.450000000000003" customHeight="1" thickBot="1" x14ac:dyDescent="0.3">
      <c r="A379" s="348" t="s">
        <v>97</v>
      </c>
      <c r="B379" s="349"/>
      <c r="C379" s="350"/>
    </row>
    <row r="380" spans="1:5" ht="24" customHeight="1" thickBot="1" x14ac:dyDescent="0.3">
      <c r="A380" s="362" t="s">
        <v>93</v>
      </c>
      <c r="B380" s="348" t="s">
        <v>251</v>
      </c>
      <c r="C380" s="350"/>
    </row>
    <row r="381" spans="1:5" ht="24" customHeight="1" thickBot="1" x14ac:dyDescent="0.3">
      <c r="A381" s="363"/>
      <c r="B381" s="151" t="s">
        <v>94</v>
      </c>
      <c r="C381" s="152" t="s">
        <v>95</v>
      </c>
    </row>
    <row r="382" spans="1:5" ht="24" customHeight="1" x14ac:dyDescent="0.25">
      <c r="A382" s="40" t="s">
        <v>16</v>
      </c>
      <c r="B382" s="41">
        <f t="shared" ref="B382:B393" si="110">E366</f>
        <v>15</v>
      </c>
      <c r="C382" s="50">
        <f t="shared" ref="C382:C393" si="111">E366</f>
        <v>15</v>
      </c>
    </row>
    <row r="383" spans="1:5" ht="24" customHeight="1" x14ac:dyDescent="0.25">
      <c r="A383" s="23" t="s">
        <v>82</v>
      </c>
      <c r="B383" s="44">
        <f t="shared" si="110"/>
        <v>1</v>
      </c>
      <c r="C383" s="51">
        <f t="shared" si="111"/>
        <v>1</v>
      </c>
    </row>
    <row r="384" spans="1:5" ht="24" customHeight="1" x14ac:dyDescent="0.25">
      <c r="A384" s="23" t="s">
        <v>83</v>
      </c>
      <c r="B384" s="44">
        <f t="shared" si="110"/>
        <v>0.6915</v>
      </c>
      <c r="C384" s="51">
        <f t="shared" si="111"/>
        <v>0.6915</v>
      </c>
    </row>
    <row r="385" spans="1:8" ht="24" customHeight="1" x14ac:dyDescent="0.25">
      <c r="A385" s="23" t="s">
        <v>84</v>
      </c>
      <c r="B385" s="44">
        <f t="shared" si="110"/>
        <v>2.5</v>
      </c>
      <c r="C385" s="51">
        <f t="shared" si="111"/>
        <v>2.5</v>
      </c>
    </row>
    <row r="386" spans="1:8" ht="24" customHeight="1" x14ac:dyDescent="0.25">
      <c r="A386" s="23" t="s">
        <v>85</v>
      </c>
      <c r="B386" s="44">
        <f t="shared" si="110"/>
        <v>0.3044</v>
      </c>
      <c r="C386" s="51">
        <f t="shared" si="111"/>
        <v>0.3044</v>
      </c>
    </row>
    <row r="387" spans="1:8" ht="24" customHeight="1" x14ac:dyDescent="0.25">
      <c r="A387" s="23" t="s">
        <v>86</v>
      </c>
      <c r="B387" s="44">
        <f t="shared" si="110"/>
        <v>3.09E-2</v>
      </c>
      <c r="C387" s="51">
        <f t="shared" si="111"/>
        <v>3.09E-2</v>
      </c>
    </row>
    <row r="388" spans="1:8" ht="24" customHeight="1" x14ac:dyDescent="0.25">
      <c r="A388" s="23" t="s">
        <v>87</v>
      </c>
      <c r="B388" s="44">
        <f t="shared" si="110"/>
        <v>1.8450000000000001E-2</v>
      </c>
      <c r="C388" s="51">
        <f t="shared" si="111"/>
        <v>1.8450000000000001E-2</v>
      </c>
    </row>
    <row r="389" spans="1:8" ht="24" customHeight="1" x14ac:dyDescent="0.25">
      <c r="A389" s="23" t="s">
        <v>88</v>
      </c>
      <c r="B389" s="44">
        <f t="shared" si="110"/>
        <v>0.02</v>
      </c>
      <c r="C389" s="51">
        <f t="shared" si="111"/>
        <v>0.02</v>
      </c>
    </row>
    <row r="390" spans="1:8" ht="24" customHeight="1" x14ac:dyDescent="0.25">
      <c r="A390" s="23" t="s">
        <v>89</v>
      </c>
      <c r="B390" s="44">
        <f t="shared" si="110"/>
        <v>4.0000000000000001E-3</v>
      </c>
      <c r="C390" s="51">
        <f t="shared" si="111"/>
        <v>4.0000000000000001E-3</v>
      </c>
    </row>
    <row r="391" spans="1:8" ht="24" customHeight="1" x14ac:dyDescent="0.25">
      <c r="A391" s="23" t="s">
        <v>90</v>
      </c>
      <c r="B391" s="44">
        <f t="shared" si="110"/>
        <v>0.32099999999999995</v>
      </c>
      <c r="C391" s="51">
        <f t="shared" si="111"/>
        <v>0.32099999999999995</v>
      </c>
    </row>
    <row r="392" spans="1:8" ht="24" customHeight="1" x14ac:dyDescent="0.25">
      <c r="A392" s="23" t="s">
        <v>91</v>
      </c>
      <c r="B392" s="44">
        <f t="shared" si="110"/>
        <v>0.252</v>
      </c>
      <c r="C392" s="51">
        <f t="shared" si="111"/>
        <v>0.252</v>
      </c>
    </row>
    <row r="393" spans="1:8" ht="24" customHeight="1" thickBot="1" x14ac:dyDescent="0.3">
      <c r="A393" s="47" t="s">
        <v>92</v>
      </c>
      <c r="B393" s="64">
        <f t="shared" si="110"/>
        <v>1.2000000000000001E-3</v>
      </c>
      <c r="C393" s="186">
        <f t="shared" si="111"/>
        <v>1.2000000000000001E-3</v>
      </c>
    </row>
    <row r="394" spans="1:8" ht="24" customHeight="1" thickBot="1" x14ac:dyDescent="0.3">
      <c r="A394" s="151" t="s">
        <v>96</v>
      </c>
      <c r="B394" s="55">
        <f>SUM(B382:B393)</f>
        <v>20.143450000000005</v>
      </c>
      <c r="C394" s="233">
        <f>SUM(C382:C393)</f>
        <v>20.143450000000005</v>
      </c>
      <c r="H394" s="90"/>
    </row>
    <row r="396" spans="1:8" ht="24" customHeight="1" x14ac:dyDescent="0.25">
      <c r="A396" s="356" t="s">
        <v>101</v>
      </c>
      <c r="B396" s="357"/>
      <c r="C396" s="357"/>
      <c r="D396" s="357"/>
      <c r="E396" s="357"/>
      <c r="F396" s="357"/>
      <c r="G396" s="357"/>
      <c r="H396" s="357"/>
    </row>
    <row r="397" spans="1:8" ht="24" customHeight="1" thickBot="1" x14ac:dyDescent="0.3"/>
    <row r="398" spans="1:8" ht="24" customHeight="1" thickBot="1" x14ac:dyDescent="0.3">
      <c r="A398" s="353" t="s">
        <v>75</v>
      </c>
      <c r="B398" s="354"/>
      <c r="C398" s="354"/>
      <c r="D398" s="355"/>
    </row>
    <row r="399" spans="1:8" ht="24" customHeight="1" thickBot="1" x14ac:dyDescent="0.3">
      <c r="A399" s="12" t="s">
        <v>3</v>
      </c>
      <c r="B399" s="13" t="s">
        <v>1</v>
      </c>
      <c r="C399" s="13" t="s">
        <v>74</v>
      </c>
      <c r="D399" s="14" t="s">
        <v>73</v>
      </c>
    </row>
    <row r="400" spans="1:8" ht="24" customHeight="1" x14ac:dyDescent="0.25">
      <c r="A400" s="3" t="s">
        <v>234</v>
      </c>
      <c r="B400" s="5">
        <f t="shared" ref="B400:B405" si="112">H69+E253+E353</f>
        <v>4539.695808227234</v>
      </c>
      <c r="C400" s="19">
        <v>30</v>
      </c>
      <c r="D400" s="7">
        <f>B400/C400</f>
        <v>151.32319360757447</v>
      </c>
    </row>
    <row r="401" spans="1:8" ht="24" customHeight="1" thickBot="1" x14ac:dyDescent="0.3">
      <c r="A401" s="4" t="s">
        <v>237</v>
      </c>
      <c r="B401" s="6">
        <f t="shared" si="112"/>
        <v>5190.3242825451071</v>
      </c>
      <c r="C401" s="20">
        <f>C400</f>
        <v>30</v>
      </c>
      <c r="D401" s="8">
        <f t="shared" ref="D401:D405" si="113">B401/C401</f>
        <v>173.01080941817023</v>
      </c>
    </row>
    <row r="402" spans="1:8" ht="24" customHeight="1" x14ac:dyDescent="0.25">
      <c r="A402" s="3" t="s">
        <v>259</v>
      </c>
      <c r="B402" s="5">
        <f t="shared" si="112"/>
        <v>4895.1961543188208</v>
      </c>
      <c r="C402" s="19">
        <v>30</v>
      </c>
      <c r="D402" s="7">
        <f>B402/C402</f>
        <v>163.1732051439607</v>
      </c>
    </row>
    <row r="403" spans="1:8" ht="24" customHeight="1" thickBot="1" x14ac:dyDescent="0.3">
      <c r="A403" s="2" t="s">
        <v>363</v>
      </c>
      <c r="B403" s="6">
        <f t="shared" si="112"/>
        <v>5500.4319443819586</v>
      </c>
      <c r="C403" s="20">
        <f>C402</f>
        <v>30</v>
      </c>
      <c r="D403" s="8">
        <f t="shared" ref="D403" si="114">B403/C403</f>
        <v>183.34773147939862</v>
      </c>
    </row>
    <row r="404" spans="1:8" ht="24" customHeight="1" x14ac:dyDescent="0.25">
      <c r="A404" s="3" t="s">
        <v>235</v>
      </c>
      <c r="B404" s="5">
        <f t="shared" si="112"/>
        <v>4895.1961543188208</v>
      </c>
      <c r="C404" s="19">
        <v>30</v>
      </c>
      <c r="D404" s="7">
        <f t="shared" si="113"/>
        <v>163.1732051439607</v>
      </c>
    </row>
    <row r="405" spans="1:8" ht="24" customHeight="1" thickBot="1" x14ac:dyDescent="0.3">
      <c r="A405" s="2" t="s">
        <v>236</v>
      </c>
      <c r="B405" s="65">
        <f t="shared" si="112"/>
        <v>5545.824628636693</v>
      </c>
      <c r="C405" s="21">
        <v>30</v>
      </c>
      <c r="D405" s="67">
        <f t="shared" si="113"/>
        <v>184.86082095455643</v>
      </c>
    </row>
    <row r="406" spans="1:8" ht="24" customHeight="1" thickBot="1" x14ac:dyDescent="0.3"/>
    <row r="407" spans="1:8" ht="24" customHeight="1" thickBot="1" x14ac:dyDescent="0.3">
      <c r="A407" s="348" t="s">
        <v>101</v>
      </c>
      <c r="B407" s="349"/>
      <c r="C407" s="349"/>
      <c r="D407" s="349"/>
      <c r="E407" s="350"/>
    </row>
    <row r="408" spans="1:8" ht="29.25" customHeight="1" thickBot="1" x14ac:dyDescent="0.3">
      <c r="A408" s="12" t="s">
        <v>3</v>
      </c>
      <c r="B408" s="13" t="s">
        <v>73</v>
      </c>
      <c r="C408" s="15" t="s">
        <v>98</v>
      </c>
      <c r="D408" s="13" t="s">
        <v>99</v>
      </c>
      <c r="E408" s="14" t="s">
        <v>100</v>
      </c>
    </row>
    <row r="409" spans="1:8" ht="24" customHeight="1" x14ac:dyDescent="0.25">
      <c r="A409" s="3" t="s">
        <v>234</v>
      </c>
      <c r="B409" s="5">
        <f t="shared" ref="B409:B414" si="115">D400</f>
        <v>151.32319360757447</v>
      </c>
      <c r="C409" s="58">
        <f>B394</f>
        <v>20.143450000000005</v>
      </c>
      <c r="D409" s="5">
        <f>B409*C409</f>
        <v>3048.1711842744967</v>
      </c>
      <c r="E409" s="7">
        <f t="shared" ref="E409:E414" si="116">D409/12</f>
        <v>254.01426535620806</v>
      </c>
    </row>
    <row r="410" spans="1:8" ht="24" customHeight="1" thickBot="1" x14ac:dyDescent="0.3">
      <c r="A410" s="4" t="s">
        <v>237</v>
      </c>
      <c r="B410" s="6">
        <f t="shared" si="115"/>
        <v>173.01080941817023</v>
      </c>
      <c r="C410" s="56">
        <f>C394</f>
        <v>20.143450000000005</v>
      </c>
      <c r="D410" s="6">
        <f t="shared" ref="D410:D414" si="117">B410*C410</f>
        <v>3485.0345889744417</v>
      </c>
      <c r="E410" s="8">
        <f t="shared" si="116"/>
        <v>290.41954908120346</v>
      </c>
    </row>
    <row r="411" spans="1:8" ht="24" customHeight="1" x14ac:dyDescent="0.25">
      <c r="A411" s="3" t="s">
        <v>259</v>
      </c>
      <c r="B411" s="5">
        <f t="shared" si="115"/>
        <v>163.1732051439607</v>
      </c>
      <c r="C411" s="58">
        <f>B394</f>
        <v>20.143450000000005</v>
      </c>
      <c r="D411" s="5">
        <f>B411*C411</f>
        <v>3286.871299157116</v>
      </c>
      <c r="E411" s="7">
        <f t="shared" ref="E411:E412" si="118">D411/12</f>
        <v>273.90594159642632</v>
      </c>
    </row>
    <row r="412" spans="1:8" ht="24" customHeight="1" thickBot="1" x14ac:dyDescent="0.3">
      <c r="A412" s="2" t="s">
        <v>363</v>
      </c>
      <c r="B412" s="6">
        <f t="shared" si="115"/>
        <v>183.34773147939862</v>
      </c>
      <c r="C412" s="56">
        <f>C394</f>
        <v>20.143450000000005</v>
      </c>
      <c r="D412" s="6">
        <f t="shared" ref="D412" si="119">B412*C412</f>
        <v>3693.2558616686929</v>
      </c>
      <c r="E412" s="8">
        <f t="shared" si="118"/>
        <v>307.77132180572443</v>
      </c>
    </row>
    <row r="413" spans="1:8" ht="24" customHeight="1" x14ac:dyDescent="0.25">
      <c r="A413" s="3" t="s">
        <v>235</v>
      </c>
      <c r="B413" s="5">
        <f t="shared" si="115"/>
        <v>163.1732051439607</v>
      </c>
      <c r="C413" s="58">
        <f>B394</f>
        <v>20.143450000000005</v>
      </c>
      <c r="D413" s="5">
        <f t="shared" si="117"/>
        <v>3286.871299157116</v>
      </c>
      <c r="E413" s="7">
        <f t="shared" si="116"/>
        <v>273.90594159642632</v>
      </c>
    </row>
    <row r="414" spans="1:8" ht="24" customHeight="1" thickBot="1" x14ac:dyDescent="0.3">
      <c r="A414" s="2" t="s">
        <v>236</v>
      </c>
      <c r="B414" s="65">
        <f t="shared" si="115"/>
        <v>184.86082095455643</v>
      </c>
      <c r="C414" s="57">
        <f>C394</f>
        <v>20.143450000000005</v>
      </c>
      <c r="D414" s="65">
        <f t="shared" si="117"/>
        <v>3723.7347038570606</v>
      </c>
      <c r="E414" s="67">
        <f t="shared" si="116"/>
        <v>310.31122532142172</v>
      </c>
    </row>
    <row r="416" spans="1:8" ht="24" customHeight="1" x14ac:dyDescent="0.25">
      <c r="A416" s="356" t="s">
        <v>102</v>
      </c>
      <c r="B416" s="357"/>
      <c r="C416" s="357"/>
      <c r="D416" s="357"/>
      <c r="E416" s="357"/>
      <c r="F416" s="357"/>
      <c r="G416" s="357"/>
      <c r="H416" s="357"/>
    </row>
    <row r="417" spans="1:8" ht="24" customHeight="1" thickBot="1" x14ac:dyDescent="0.3"/>
    <row r="418" spans="1:8" ht="24" customHeight="1" thickBot="1" x14ac:dyDescent="0.3">
      <c r="A418" s="353" t="s">
        <v>104</v>
      </c>
      <c r="B418" s="354"/>
      <c r="C418" s="354"/>
      <c r="D418" s="355"/>
    </row>
    <row r="419" spans="1:8" ht="24" customHeight="1" thickBot="1" x14ac:dyDescent="0.3">
      <c r="A419" s="12" t="s">
        <v>3</v>
      </c>
      <c r="B419" s="13" t="s">
        <v>1</v>
      </c>
      <c r="C419" s="13" t="s">
        <v>103</v>
      </c>
      <c r="D419" s="14" t="s">
        <v>4</v>
      </c>
    </row>
    <row r="420" spans="1:8" ht="24" customHeight="1" x14ac:dyDescent="0.25">
      <c r="A420" s="3" t="s">
        <v>234</v>
      </c>
      <c r="B420" s="5">
        <f>H69+E253+E353</f>
        <v>4539.695808227234</v>
      </c>
      <c r="C420" s="68">
        <v>220</v>
      </c>
      <c r="D420" s="7">
        <f>B420/C420</f>
        <v>20.634980946487428</v>
      </c>
    </row>
    <row r="421" spans="1:8" ht="24" customHeight="1" thickBot="1" x14ac:dyDescent="0.3">
      <c r="A421" s="2" t="s">
        <v>237</v>
      </c>
      <c r="B421" s="65">
        <f>H70+E254+E354</f>
        <v>5190.3242825451071</v>
      </c>
      <c r="C421" s="69">
        <f>C420</f>
        <v>220</v>
      </c>
      <c r="D421" s="67">
        <f t="shared" ref="D421" si="120">B421/C421</f>
        <v>23.592383102477758</v>
      </c>
    </row>
    <row r="422" spans="1:8" ht="24" customHeight="1" thickBot="1" x14ac:dyDescent="0.3"/>
    <row r="423" spans="1:8" ht="24" customHeight="1" thickBot="1" x14ac:dyDescent="0.3">
      <c r="A423" s="359" t="s">
        <v>102</v>
      </c>
      <c r="B423" s="360"/>
      <c r="C423" s="360"/>
      <c r="D423" s="361"/>
    </row>
    <row r="424" spans="1:8" ht="32.25" customHeight="1" thickBot="1" x14ac:dyDescent="0.3">
      <c r="A424" s="34" t="s">
        <v>3</v>
      </c>
      <c r="B424" s="35" t="s">
        <v>105</v>
      </c>
      <c r="C424" s="54" t="s">
        <v>106</v>
      </c>
      <c r="D424" s="36" t="s">
        <v>4</v>
      </c>
    </row>
    <row r="425" spans="1:8" ht="24" customHeight="1" x14ac:dyDescent="0.25">
      <c r="A425" s="3" t="s">
        <v>234</v>
      </c>
      <c r="B425" s="5">
        <f>D420</f>
        <v>20.634980946487428</v>
      </c>
      <c r="C425" s="68">
        <v>15</v>
      </c>
      <c r="D425" s="7">
        <f>B425*C425</f>
        <v>309.52471419731143</v>
      </c>
    </row>
    <row r="426" spans="1:8" ht="24" customHeight="1" thickBot="1" x14ac:dyDescent="0.3">
      <c r="A426" s="2" t="s">
        <v>237</v>
      </c>
      <c r="B426" s="65">
        <f>D421</f>
        <v>23.592383102477758</v>
      </c>
      <c r="C426" s="69">
        <v>15</v>
      </c>
      <c r="D426" s="67">
        <f t="shared" ref="D426" si="121">B426*C426</f>
        <v>353.88574653716637</v>
      </c>
    </row>
    <row r="428" spans="1:8" ht="24" customHeight="1" x14ac:dyDescent="0.25">
      <c r="A428" s="351" t="s">
        <v>72</v>
      </c>
      <c r="B428" s="351"/>
      <c r="C428" s="351"/>
      <c r="D428" s="351"/>
      <c r="E428" s="351"/>
      <c r="F428" s="351"/>
      <c r="G428" s="351"/>
      <c r="H428" s="351"/>
    </row>
    <row r="429" spans="1:8" ht="24" customHeight="1" thickBot="1" x14ac:dyDescent="0.3"/>
    <row r="430" spans="1:8" ht="24" customHeight="1" thickBot="1" x14ac:dyDescent="0.3">
      <c r="A430" s="353" t="s">
        <v>72</v>
      </c>
      <c r="B430" s="354"/>
      <c r="C430" s="354"/>
      <c r="D430" s="355"/>
    </row>
    <row r="431" spans="1:8" ht="24" customHeight="1" thickBot="1" x14ac:dyDescent="0.3">
      <c r="A431" s="12" t="s">
        <v>3</v>
      </c>
      <c r="B431" s="13" t="s">
        <v>107</v>
      </c>
      <c r="C431" s="13" t="s">
        <v>108</v>
      </c>
      <c r="D431" s="14" t="s">
        <v>12</v>
      </c>
    </row>
    <row r="432" spans="1:8" ht="24" customHeight="1" x14ac:dyDescent="0.25">
      <c r="A432" s="3" t="s">
        <v>234</v>
      </c>
      <c r="B432" s="5">
        <f t="shared" ref="B432:B437" si="122">E409</f>
        <v>254.01426535620806</v>
      </c>
      <c r="C432" s="5">
        <f>D425</f>
        <v>309.52471419731143</v>
      </c>
      <c r="D432" s="7">
        <f>B432+C432</f>
        <v>563.53897955351954</v>
      </c>
    </row>
    <row r="433" spans="1:8" ht="24" customHeight="1" thickBot="1" x14ac:dyDescent="0.3">
      <c r="A433" s="73" t="s">
        <v>237</v>
      </c>
      <c r="B433" s="74">
        <f t="shared" si="122"/>
        <v>290.41954908120346</v>
      </c>
      <c r="C433" s="74">
        <f>D426</f>
        <v>353.88574653716637</v>
      </c>
      <c r="D433" s="78">
        <f t="shared" ref="D433:D437" si="123">B433+C433</f>
        <v>644.30529561836988</v>
      </c>
    </row>
    <row r="434" spans="1:8" ht="24" customHeight="1" x14ac:dyDescent="0.25">
      <c r="A434" s="3" t="s">
        <v>259</v>
      </c>
      <c r="B434" s="5">
        <f t="shared" si="122"/>
        <v>273.90594159642632</v>
      </c>
      <c r="C434" s="5">
        <f>D425</f>
        <v>309.52471419731143</v>
      </c>
      <c r="D434" s="7">
        <f>B434+C434</f>
        <v>583.43065579373774</v>
      </c>
    </row>
    <row r="435" spans="1:8" ht="24" customHeight="1" thickBot="1" x14ac:dyDescent="0.3">
      <c r="A435" s="2" t="s">
        <v>363</v>
      </c>
      <c r="B435" s="74">
        <f t="shared" si="122"/>
        <v>307.77132180572443</v>
      </c>
      <c r="C435" s="74">
        <f>D426</f>
        <v>353.88574653716637</v>
      </c>
      <c r="D435" s="78">
        <f t="shared" ref="D435" si="124">B435+C435</f>
        <v>661.65706834289085</v>
      </c>
    </row>
    <row r="436" spans="1:8" ht="24" customHeight="1" x14ac:dyDescent="0.25">
      <c r="A436" s="3" t="s">
        <v>235</v>
      </c>
      <c r="B436" s="5">
        <f t="shared" si="122"/>
        <v>273.90594159642632</v>
      </c>
      <c r="C436" s="5">
        <v>0</v>
      </c>
      <c r="D436" s="7">
        <f t="shared" si="123"/>
        <v>273.90594159642632</v>
      </c>
    </row>
    <row r="437" spans="1:8" ht="24" customHeight="1" thickBot="1" x14ac:dyDescent="0.3">
      <c r="A437" s="2" t="s">
        <v>236</v>
      </c>
      <c r="B437" s="65">
        <f t="shared" si="122"/>
        <v>310.31122532142172</v>
      </c>
      <c r="C437" s="65">
        <v>0</v>
      </c>
      <c r="D437" s="67">
        <f t="shared" si="123"/>
        <v>310.31122532142172</v>
      </c>
    </row>
    <row r="439" spans="1:8" ht="24" customHeight="1" x14ac:dyDescent="0.25">
      <c r="A439" s="351" t="s">
        <v>109</v>
      </c>
      <c r="B439" s="351"/>
      <c r="C439" s="351"/>
      <c r="D439" s="351"/>
      <c r="E439" s="351"/>
      <c r="F439" s="351"/>
      <c r="G439" s="351"/>
      <c r="H439" s="351"/>
    </row>
    <row r="440" spans="1:8" ht="24" customHeight="1" thickBot="1" x14ac:dyDescent="0.3">
      <c r="A440" s="90"/>
      <c r="B440" s="90"/>
      <c r="C440" s="90"/>
      <c r="E440" s="90"/>
    </row>
    <row r="441" spans="1:8" ht="24" customHeight="1" thickBot="1" x14ac:dyDescent="0.3">
      <c r="A441" s="386" t="s">
        <v>143</v>
      </c>
      <c r="B441" s="387"/>
      <c r="C441" s="387"/>
      <c r="D441" s="388"/>
      <c r="E441" s="99"/>
    </row>
    <row r="442" spans="1:8" ht="24" customHeight="1" thickBot="1" x14ac:dyDescent="0.3">
      <c r="A442" s="227" t="s">
        <v>144</v>
      </c>
      <c r="B442" s="228" t="s">
        <v>300</v>
      </c>
      <c r="C442" s="228" t="s">
        <v>146</v>
      </c>
      <c r="D442" s="229" t="s">
        <v>301</v>
      </c>
    </row>
    <row r="443" spans="1:8" ht="24" customHeight="1" x14ac:dyDescent="0.25">
      <c r="A443" s="3" t="str">
        <f>Uniformes!B5</f>
        <v>Calça</v>
      </c>
      <c r="B443" s="230">
        <f>Uniformes!D5</f>
        <v>4</v>
      </c>
      <c r="C443" s="111">
        <f>Uniformes!E5</f>
        <v>133.25</v>
      </c>
      <c r="D443" s="111">
        <f>B443*C443</f>
        <v>533</v>
      </c>
    </row>
    <row r="444" spans="1:8" ht="24" customHeight="1" x14ac:dyDescent="0.25">
      <c r="A444" s="1" t="str">
        <f>Uniformes!B6</f>
        <v>Camisa</v>
      </c>
      <c r="B444" s="259">
        <f>Uniformes!D6</f>
        <v>4</v>
      </c>
      <c r="C444" s="260">
        <f>Uniformes!E6</f>
        <v>150.79</v>
      </c>
      <c r="D444" s="260">
        <f>B444*C444</f>
        <v>603.16</v>
      </c>
    </row>
    <row r="445" spans="1:8" ht="24" customHeight="1" x14ac:dyDescent="0.25">
      <c r="A445" s="1" t="str">
        <f>Uniformes!B7</f>
        <v>Coturno</v>
      </c>
      <c r="B445" s="259">
        <f>Uniformes!D7</f>
        <v>2</v>
      </c>
      <c r="C445" s="260">
        <f>Uniformes!E7</f>
        <v>306.23</v>
      </c>
      <c r="D445" s="260">
        <f t="shared" ref="D445:D452" si="125">B445*C445</f>
        <v>612.46</v>
      </c>
    </row>
    <row r="446" spans="1:8" ht="24" customHeight="1" x14ac:dyDescent="0.25">
      <c r="A446" s="1" t="str">
        <f>Uniformes!B8</f>
        <v>Boné</v>
      </c>
      <c r="B446" s="259">
        <f>Uniformes!D8</f>
        <v>2</v>
      </c>
      <c r="C446" s="260">
        <f>Uniformes!E8</f>
        <v>41.33</v>
      </c>
      <c r="D446" s="260">
        <f t="shared" si="125"/>
        <v>82.66</v>
      </c>
    </row>
    <row r="447" spans="1:8" ht="24" customHeight="1" x14ac:dyDescent="0.25">
      <c r="A447" s="1" t="str">
        <f>Uniformes!B9</f>
        <v>Cinto de Nylon</v>
      </c>
      <c r="B447" s="259">
        <f>Uniformes!D9</f>
        <v>4</v>
      </c>
      <c r="C447" s="260">
        <f>Uniformes!E9</f>
        <v>38.049999999999997</v>
      </c>
      <c r="D447" s="260">
        <f t="shared" si="125"/>
        <v>152.19999999999999</v>
      </c>
    </row>
    <row r="448" spans="1:8" ht="24" customHeight="1" x14ac:dyDescent="0.25">
      <c r="A448" s="1" t="str">
        <f>Uniformes!B10</f>
        <v>Jaqueta</v>
      </c>
      <c r="B448" s="259">
        <f>Uniformes!D10</f>
        <v>2</v>
      </c>
      <c r="C448" s="260">
        <f>Uniformes!E10</f>
        <v>259.7</v>
      </c>
      <c r="D448" s="260">
        <f t="shared" si="125"/>
        <v>519.4</v>
      </c>
    </row>
    <row r="449" spans="1:5" ht="24" customHeight="1" x14ac:dyDescent="0.25">
      <c r="A449" s="1" t="str">
        <f>Uniformes!B11</f>
        <v>Meia</v>
      </c>
      <c r="B449" s="259">
        <f>Uniformes!D11</f>
        <v>4</v>
      </c>
      <c r="C449" s="260">
        <f>Uniformes!E11</f>
        <v>2</v>
      </c>
      <c r="D449" s="260">
        <f t="shared" si="125"/>
        <v>8</v>
      </c>
    </row>
    <row r="450" spans="1:5" ht="24" customHeight="1" x14ac:dyDescent="0.25">
      <c r="A450" s="1" t="str">
        <f>Uniformes!B12</f>
        <v>Crachá</v>
      </c>
      <c r="B450" s="259">
        <f>Uniformes!D12</f>
        <v>2</v>
      </c>
      <c r="C450" s="260">
        <f>Uniformes!E12</f>
        <v>9.56</v>
      </c>
      <c r="D450" s="260">
        <f t="shared" si="125"/>
        <v>19.12</v>
      </c>
    </row>
    <row r="451" spans="1:5" ht="24" customHeight="1" x14ac:dyDescent="0.25">
      <c r="A451" s="1" t="str">
        <f>Uniformes!B13</f>
        <v>Capa de Chuva</v>
      </c>
      <c r="B451" s="259">
        <f>Uniformes!D13</f>
        <v>2</v>
      </c>
      <c r="C451" s="260">
        <f>Uniformes!E13</f>
        <v>28.38</v>
      </c>
      <c r="D451" s="260">
        <f t="shared" si="125"/>
        <v>56.76</v>
      </c>
    </row>
    <row r="452" spans="1:5" ht="24" customHeight="1" thickBot="1" x14ac:dyDescent="0.3">
      <c r="A452" s="1" t="str">
        <f>Uniformes!B14</f>
        <v>Capa de Colete</v>
      </c>
      <c r="B452" s="259">
        <f>Uniformes!D14</f>
        <v>2</v>
      </c>
      <c r="C452" s="260">
        <f>Uniformes!E14</f>
        <v>243.62</v>
      </c>
      <c r="D452" s="260">
        <f t="shared" si="125"/>
        <v>487.24</v>
      </c>
    </row>
    <row r="453" spans="1:5" ht="24" customHeight="1" thickBot="1" x14ac:dyDescent="0.3">
      <c r="A453" s="389" t="s">
        <v>149</v>
      </c>
      <c r="B453" s="390"/>
      <c r="C453" s="390"/>
      <c r="D453" s="231">
        <f>SUM(D443:D452)</f>
        <v>3074</v>
      </c>
    </row>
    <row r="454" spans="1:5" ht="24" customHeight="1" thickBot="1" x14ac:dyDescent="0.3">
      <c r="B454" s="100"/>
      <c r="C454" s="100"/>
      <c r="D454" s="100"/>
      <c r="E454" s="101"/>
    </row>
    <row r="455" spans="1:5" ht="24" customHeight="1" thickBot="1" x14ac:dyDescent="0.3">
      <c r="A455" s="386" t="s">
        <v>150</v>
      </c>
      <c r="B455" s="387"/>
      <c r="C455" s="388"/>
      <c r="D455" s="102"/>
      <c r="E455" s="102"/>
    </row>
    <row r="456" spans="1:5" ht="24" customHeight="1" thickBot="1" x14ac:dyDescent="0.3">
      <c r="A456" s="103" t="s">
        <v>3</v>
      </c>
      <c r="B456" s="104" t="s">
        <v>99</v>
      </c>
      <c r="C456" s="105" t="s">
        <v>151</v>
      </c>
      <c r="D456" s="102"/>
      <c r="E456" s="102"/>
    </row>
    <row r="457" spans="1:5" ht="24" customHeight="1" x14ac:dyDescent="0.25">
      <c r="A457" s="3" t="s">
        <v>234</v>
      </c>
      <c r="B457" s="314">
        <f>D453</f>
        <v>3074</v>
      </c>
      <c r="C457" s="315">
        <f t="shared" ref="C457:C462" si="126">(B457/12)</f>
        <v>256.16666666666669</v>
      </c>
      <c r="D457" s="100"/>
    </row>
    <row r="458" spans="1:5" ht="24" customHeight="1" thickBot="1" x14ac:dyDescent="0.3">
      <c r="A458" s="2" t="s">
        <v>237</v>
      </c>
      <c r="B458" s="316">
        <f>D453</f>
        <v>3074</v>
      </c>
      <c r="C458" s="317">
        <f t="shared" si="126"/>
        <v>256.16666666666669</v>
      </c>
      <c r="D458" s="100"/>
    </row>
    <row r="459" spans="1:5" ht="24" customHeight="1" x14ac:dyDescent="0.25">
      <c r="A459" s="3" t="s">
        <v>259</v>
      </c>
      <c r="B459" s="314">
        <f>D453</f>
        <v>3074</v>
      </c>
      <c r="C459" s="315">
        <f t="shared" si="126"/>
        <v>256.16666666666669</v>
      </c>
      <c r="D459" s="100"/>
    </row>
    <row r="460" spans="1:5" ht="24" customHeight="1" thickBot="1" x14ac:dyDescent="0.3">
      <c r="A460" s="2" t="s">
        <v>363</v>
      </c>
      <c r="B460" s="316">
        <f>D453</f>
        <v>3074</v>
      </c>
      <c r="C460" s="317">
        <f t="shared" si="126"/>
        <v>256.16666666666669</v>
      </c>
      <c r="D460" s="100"/>
    </row>
    <row r="461" spans="1:5" ht="24" customHeight="1" x14ac:dyDescent="0.25">
      <c r="A461" s="3" t="s">
        <v>235</v>
      </c>
      <c r="B461" s="314">
        <f>D453</f>
        <v>3074</v>
      </c>
      <c r="C461" s="315">
        <f t="shared" si="126"/>
        <v>256.16666666666669</v>
      </c>
      <c r="D461" s="100"/>
    </row>
    <row r="462" spans="1:5" ht="24" customHeight="1" thickBot="1" x14ac:dyDescent="0.3">
      <c r="A462" s="2" t="s">
        <v>236</v>
      </c>
      <c r="B462" s="316">
        <f>D453</f>
        <v>3074</v>
      </c>
      <c r="C462" s="317">
        <f t="shared" si="126"/>
        <v>256.16666666666669</v>
      </c>
      <c r="D462" s="100"/>
    </row>
    <row r="463" spans="1:5" ht="24" customHeight="1" thickBot="1" x14ac:dyDescent="0.3">
      <c r="B463" s="100"/>
      <c r="C463" s="100"/>
      <c r="D463" s="100"/>
    </row>
    <row r="464" spans="1:5" ht="24" customHeight="1" thickBot="1" x14ac:dyDescent="0.3">
      <c r="A464" s="386" t="s">
        <v>302</v>
      </c>
      <c r="B464" s="387"/>
      <c r="C464" s="387"/>
      <c r="D464" s="388"/>
    </row>
    <row r="465" spans="1:4" ht="24" customHeight="1" thickBot="1" x14ac:dyDescent="0.3">
      <c r="A465" s="227" t="s">
        <v>144</v>
      </c>
      <c r="B465" s="228" t="s">
        <v>300</v>
      </c>
      <c r="C465" s="228" t="s">
        <v>146</v>
      </c>
      <c r="D465" s="229" t="s">
        <v>301</v>
      </c>
    </row>
    <row r="466" spans="1:4" ht="24" customHeight="1" x14ac:dyDescent="0.25">
      <c r="A466" s="3" t="str">
        <f>Materiais!B5</f>
        <v>Cinto de Guarnição</v>
      </c>
      <c r="B466" s="230">
        <f>Materiais!D5</f>
        <v>1</v>
      </c>
      <c r="C466" s="111">
        <f>Materiais!E5</f>
        <v>107.76</v>
      </c>
      <c r="D466" s="111">
        <f>B466*C466</f>
        <v>107.76</v>
      </c>
    </row>
    <row r="467" spans="1:4" ht="24" customHeight="1" x14ac:dyDescent="0.25">
      <c r="A467" s="1" t="str">
        <f>Materiais!B6</f>
        <v>Livro de Ocorrência</v>
      </c>
      <c r="B467" s="259">
        <f>Materiais!D6</f>
        <v>2</v>
      </c>
      <c r="C467" s="260">
        <f>Materiais!E6</f>
        <v>34.380000000000003</v>
      </c>
      <c r="D467" s="260">
        <f>B467*C467</f>
        <v>68.760000000000005</v>
      </c>
    </row>
    <row r="468" spans="1:4" ht="24" customHeight="1" x14ac:dyDescent="0.25">
      <c r="A468" s="1" t="str">
        <f>Materiais!B7</f>
        <v>Cassetete</v>
      </c>
      <c r="B468" s="259">
        <f>Materiais!D7</f>
        <v>1</v>
      </c>
      <c r="C468" s="260">
        <f>Materiais!E7</f>
        <v>42.63</v>
      </c>
      <c r="D468" s="260">
        <f t="shared" ref="D468:D480" si="127">B468*C468</f>
        <v>42.63</v>
      </c>
    </row>
    <row r="469" spans="1:4" ht="24" customHeight="1" x14ac:dyDescent="0.25">
      <c r="A469" s="1" t="str">
        <f>Materiais!B8</f>
        <v>Porta cassetete</v>
      </c>
      <c r="B469" s="259">
        <f>Materiais!D8</f>
        <v>1</v>
      </c>
      <c r="C469" s="260">
        <f>Materiais!E8</f>
        <v>26.61</v>
      </c>
      <c r="D469" s="260">
        <f t="shared" si="127"/>
        <v>26.61</v>
      </c>
    </row>
    <row r="470" spans="1:4" ht="24" customHeight="1" x14ac:dyDescent="0.25">
      <c r="A470" s="1" t="str">
        <f>Materiais!B9</f>
        <v>Apito com Cordão</v>
      </c>
      <c r="B470" s="259">
        <f>Materiais!D9</f>
        <v>4</v>
      </c>
      <c r="C470" s="260">
        <f>Materiais!E9</f>
        <v>9.6300000000000008</v>
      </c>
      <c r="D470" s="260">
        <f t="shared" si="127"/>
        <v>38.520000000000003</v>
      </c>
    </row>
    <row r="471" spans="1:4" ht="24" customHeight="1" x14ac:dyDescent="0.25">
      <c r="A471" s="1" t="str">
        <f>Materiais!B10</f>
        <v>Lanterna Com Bateria sobressalente</v>
      </c>
      <c r="B471" s="259">
        <f>Materiais!D10</f>
        <v>1</v>
      </c>
      <c r="C471" s="260">
        <f>Materiais!E10</f>
        <v>73.86</v>
      </c>
      <c r="D471" s="260">
        <f t="shared" si="127"/>
        <v>73.86</v>
      </c>
    </row>
    <row r="472" spans="1:4" ht="24" customHeight="1" x14ac:dyDescent="0.25">
      <c r="A472" s="1" t="str">
        <f>Materiais!B11</f>
        <v>Munição</v>
      </c>
      <c r="B472" s="259">
        <f>Materiais!D11</f>
        <v>12</v>
      </c>
      <c r="C472" s="260">
        <f>Materiais!E11</f>
        <v>8.91</v>
      </c>
      <c r="D472" s="260">
        <f t="shared" si="127"/>
        <v>106.92</v>
      </c>
    </row>
    <row r="473" spans="1:4" ht="24" customHeight="1" x14ac:dyDescent="0.25">
      <c r="A473" s="1" t="str">
        <f>Materiais!B12</f>
        <v>Bastão de Ronda Eletrônica</v>
      </c>
      <c r="B473" s="259">
        <f>Materiais!D12</f>
        <v>1</v>
      </c>
      <c r="C473" s="260">
        <f>Materiais!E12</f>
        <v>684.98</v>
      </c>
      <c r="D473" s="260">
        <f t="shared" si="127"/>
        <v>684.98</v>
      </c>
    </row>
    <row r="474" spans="1:4" ht="24" customHeight="1" x14ac:dyDescent="0.25">
      <c r="A474" s="1" t="str">
        <f>Materiais!B13</f>
        <v>Prancheta</v>
      </c>
      <c r="B474" s="259">
        <f>Materiais!D13</f>
        <v>1</v>
      </c>
      <c r="C474" s="260">
        <f>Materiais!E13</f>
        <v>6.12</v>
      </c>
      <c r="D474" s="260">
        <f t="shared" si="127"/>
        <v>6.12</v>
      </c>
    </row>
    <row r="475" spans="1:4" ht="24" customHeight="1" thickBot="1" x14ac:dyDescent="0.3">
      <c r="A475" s="1" t="str">
        <f>Materiais!B14</f>
        <v>Caneta</v>
      </c>
      <c r="B475" s="259">
        <f>Materiais!D14</f>
        <v>1</v>
      </c>
      <c r="C475" s="260">
        <f>Materiais!E14</f>
        <v>1.51</v>
      </c>
      <c r="D475" s="260">
        <f t="shared" si="127"/>
        <v>1.51</v>
      </c>
    </row>
    <row r="476" spans="1:4" ht="24" customHeight="1" thickBot="1" x14ac:dyDescent="0.3">
      <c r="A476" s="389" t="s">
        <v>313</v>
      </c>
      <c r="B476" s="390"/>
      <c r="C476" s="390"/>
      <c r="D476" s="231">
        <f>SUM(D462:D475)/2</f>
        <v>578.83499999999992</v>
      </c>
    </row>
    <row r="477" spans="1:4" ht="24" customHeight="1" thickBot="1" x14ac:dyDescent="0.3">
      <c r="A477" s="319"/>
      <c r="D477" s="320"/>
    </row>
    <row r="478" spans="1:4" ht="24" customHeight="1" thickBot="1" x14ac:dyDescent="0.3">
      <c r="A478" s="386" t="s">
        <v>336</v>
      </c>
      <c r="B478" s="387"/>
      <c r="C478" s="387"/>
      <c r="D478" s="388"/>
    </row>
    <row r="479" spans="1:4" ht="24" customHeight="1" x14ac:dyDescent="0.25">
      <c r="A479" s="227" t="s">
        <v>144</v>
      </c>
      <c r="B479" s="228" t="s">
        <v>300</v>
      </c>
      <c r="C479" s="228" t="s">
        <v>146</v>
      </c>
      <c r="D479" s="229" t="s">
        <v>301</v>
      </c>
    </row>
    <row r="480" spans="1:4" ht="24" customHeight="1" thickBot="1" x14ac:dyDescent="0.3">
      <c r="A480" s="1" t="str">
        <f>Materiais!B22</f>
        <v>Gasolina - Três Lagoas</v>
      </c>
      <c r="B480" s="318">
        <f>Materiais!D22</f>
        <v>360</v>
      </c>
      <c r="C480" s="260">
        <f>Materiais!E22</f>
        <v>5.75</v>
      </c>
      <c r="D480" s="260">
        <f t="shared" si="127"/>
        <v>2070</v>
      </c>
    </row>
    <row r="481" spans="1:11" ht="24" customHeight="1" thickBot="1" x14ac:dyDescent="0.3">
      <c r="A481" s="389" t="s">
        <v>337</v>
      </c>
      <c r="B481" s="390"/>
      <c r="C481" s="390"/>
      <c r="D481" s="231">
        <f>SUM(D480)/2</f>
        <v>1035</v>
      </c>
    </row>
    <row r="482" spans="1:11" ht="24" customHeight="1" thickBot="1" x14ac:dyDescent="0.3">
      <c r="B482" s="100"/>
      <c r="C482" s="100"/>
      <c r="D482" s="100"/>
    </row>
    <row r="483" spans="1:11" ht="24" customHeight="1" thickBot="1" x14ac:dyDescent="0.3">
      <c r="A483" s="386" t="s">
        <v>333</v>
      </c>
      <c r="B483" s="387"/>
      <c r="C483" s="388"/>
      <c r="D483" s="100"/>
    </row>
    <row r="484" spans="1:11" ht="24" customHeight="1" thickBot="1" x14ac:dyDescent="0.3">
      <c r="A484" s="103" t="s">
        <v>3</v>
      </c>
      <c r="B484" s="104" t="s">
        <v>99</v>
      </c>
      <c r="C484" s="105" t="s">
        <v>151</v>
      </c>
      <c r="D484" s="100"/>
    </row>
    <row r="485" spans="1:11" ht="24" customHeight="1" x14ac:dyDescent="0.25">
      <c r="A485" s="3" t="s">
        <v>234</v>
      </c>
      <c r="B485" s="314">
        <f>D476</f>
        <v>578.83499999999992</v>
      </c>
      <c r="C485" s="315">
        <f t="shared" ref="C485:C490" si="128">(B485/12)</f>
        <v>48.236249999999991</v>
      </c>
      <c r="D485" s="100"/>
    </row>
    <row r="486" spans="1:11" ht="24" customHeight="1" thickBot="1" x14ac:dyDescent="0.3">
      <c r="A486" s="2" t="s">
        <v>237</v>
      </c>
      <c r="B486" s="316">
        <f>D476</f>
        <v>578.83499999999992</v>
      </c>
      <c r="C486" s="317">
        <f t="shared" si="128"/>
        <v>48.236249999999991</v>
      </c>
      <c r="D486" s="100"/>
    </row>
    <row r="487" spans="1:11" ht="24" customHeight="1" x14ac:dyDescent="0.25">
      <c r="A487" s="3" t="s">
        <v>339</v>
      </c>
      <c r="B487" s="314">
        <f>D476+D481</f>
        <v>1613.835</v>
      </c>
      <c r="C487" s="315">
        <f>(B487/12)</f>
        <v>134.48625000000001</v>
      </c>
      <c r="D487" s="100"/>
    </row>
    <row r="488" spans="1:11" ht="24" customHeight="1" thickBot="1" x14ac:dyDescent="0.3">
      <c r="A488" s="2" t="s">
        <v>340</v>
      </c>
      <c r="B488" s="316">
        <f>D476+D481</f>
        <v>1613.835</v>
      </c>
      <c r="C488" s="317">
        <f t="shared" si="128"/>
        <v>134.48625000000001</v>
      </c>
      <c r="D488" s="100"/>
    </row>
    <row r="489" spans="1:11" ht="24" customHeight="1" x14ac:dyDescent="0.25">
      <c r="A489" s="3" t="s">
        <v>235</v>
      </c>
      <c r="B489" s="314">
        <f>D476</f>
        <v>578.83499999999992</v>
      </c>
      <c r="C489" s="315">
        <f t="shared" si="128"/>
        <v>48.236249999999991</v>
      </c>
      <c r="D489" s="100"/>
    </row>
    <row r="490" spans="1:11" ht="24" customHeight="1" thickBot="1" x14ac:dyDescent="0.3">
      <c r="A490" s="2" t="s">
        <v>236</v>
      </c>
      <c r="B490" s="316">
        <f>D476</f>
        <v>578.83499999999992</v>
      </c>
      <c r="C490" s="317">
        <f t="shared" si="128"/>
        <v>48.236249999999991</v>
      </c>
      <c r="D490" s="100"/>
    </row>
    <row r="491" spans="1:11" ht="24" customHeight="1" thickBot="1" x14ac:dyDescent="0.3">
      <c r="B491" s="100"/>
      <c r="C491" s="100"/>
      <c r="D491" s="100"/>
    </row>
    <row r="492" spans="1:11" ht="24" customHeight="1" thickBot="1" x14ac:dyDescent="0.3">
      <c r="A492" s="391" t="s">
        <v>338</v>
      </c>
      <c r="B492" s="392"/>
      <c r="C492" s="392"/>
      <c r="D492" s="392"/>
      <c r="E492" s="393"/>
    </row>
    <row r="493" spans="1:11" ht="40.15" customHeight="1" thickBot="1" x14ac:dyDescent="0.3">
      <c r="A493" s="129" t="s">
        <v>152</v>
      </c>
      <c r="B493" s="130" t="s">
        <v>153</v>
      </c>
      <c r="C493" s="131" t="s">
        <v>145</v>
      </c>
      <c r="D493" s="131" t="s">
        <v>306</v>
      </c>
      <c r="E493" s="270" t="s">
        <v>342</v>
      </c>
    </row>
    <row r="494" spans="1:11" ht="24" customHeight="1" x14ac:dyDescent="0.25">
      <c r="A494" s="106" t="str">
        <f>Equipamentos!B5</f>
        <v>Revolver Calibre 38</v>
      </c>
      <c r="B494" s="122">
        <f>Equipamentos!E5</f>
        <v>6870.25</v>
      </c>
      <c r="C494" s="107">
        <f>Equipamentos!D5</f>
        <v>1</v>
      </c>
      <c r="D494" s="107">
        <f>Equipamentos!C5</f>
        <v>120</v>
      </c>
      <c r="E494" s="271">
        <f>Equipamentos!F5</f>
        <v>57.252083333333331</v>
      </c>
    </row>
    <row r="495" spans="1:11" ht="24" customHeight="1" x14ac:dyDescent="0.25">
      <c r="A495" s="108" t="str">
        <f>Equipamentos!B6</f>
        <v>Colete (Placa)</v>
      </c>
      <c r="B495" s="123">
        <f>Equipamentos!E6</f>
        <v>1686.72</v>
      </c>
      <c r="C495" s="109">
        <f>Equipamentos!D6</f>
        <v>1</v>
      </c>
      <c r="D495" s="107">
        <f>Equipamentos!C6</f>
        <v>60</v>
      </c>
      <c r="E495" s="272">
        <f>Equipamentos!F6</f>
        <v>28.112000000000002</v>
      </c>
    </row>
    <row r="496" spans="1:11" ht="24" customHeight="1" thickBot="1" x14ac:dyDescent="0.3">
      <c r="A496" s="108" t="str">
        <f>Equipamentos!B7</f>
        <v>Rádio Comunicador</v>
      </c>
      <c r="B496" s="123">
        <f>Equipamentos!E7</f>
        <v>2316.66</v>
      </c>
      <c r="C496" s="109">
        <f>Equipamentos!D7</f>
        <v>1</v>
      </c>
      <c r="D496" s="107">
        <f>Equipamentos!C7</f>
        <v>36</v>
      </c>
      <c r="E496" s="272">
        <f>Equipamentos!F7</f>
        <v>64.351666666666659</v>
      </c>
      <c r="F496" s="90"/>
      <c r="G496" s="90"/>
      <c r="H496" s="90"/>
      <c r="I496" s="90"/>
      <c r="J496" s="90"/>
      <c r="K496" s="90"/>
    </row>
    <row r="497" spans="1:5" ht="24" customHeight="1" thickBot="1" x14ac:dyDescent="0.3">
      <c r="A497" s="391" t="s">
        <v>154</v>
      </c>
      <c r="B497" s="392"/>
      <c r="C497" s="392"/>
      <c r="D497" s="393"/>
      <c r="E497" s="232">
        <f>SUM(E490:E496)</f>
        <v>149.71574999999999</v>
      </c>
    </row>
    <row r="498" spans="1:5" ht="24" customHeight="1" thickBot="1" x14ac:dyDescent="0.3">
      <c r="A498" s="319"/>
      <c r="B498" s="100"/>
      <c r="C498" s="100"/>
      <c r="D498" s="100"/>
      <c r="E498" s="320"/>
    </row>
    <row r="499" spans="1:5" ht="24" customHeight="1" thickBot="1" x14ac:dyDescent="0.3">
      <c r="A499" s="391" t="s">
        <v>332</v>
      </c>
      <c r="B499" s="392"/>
      <c r="C499" s="392"/>
      <c r="D499" s="392"/>
      <c r="E499" s="393"/>
    </row>
    <row r="500" spans="1:5" ht="24" customHeight="1" thickBot="1" x14ac:dyDescent="0.3">
      <c r="A500" s="108" t="str">
        <f>Equipamentos!B15</f>
        <v>Motocicleta</v>
      </c>
      <c r="B500" s="123">
        <f>Equipamentos!E15</f>
        <v>19035.080000000002</v>
      </c>
      <c r="C500" s="109">
        <f>Equipamentos!D15</f>
        <v>1</v>
      </c>
      <c r="D500" s="107">
        <f>Equipamentos!C15</f>
        <v>120</v>
      </c>
      <c r="E500" s="272">
        <f>Equipamentos!F15</f>
        <v>158.62566666666669</v>
      </c>
    </row>
    <row r="501" spans="1:5" ht="24" customHeight="1" thickBot="1" x14ac:dyDescent="0.3">
      <c r="A501" s="391" t="s">
        <v>154</v>
      </c>
      <c r="B501" s="392"/>
      <c r="C501" s="392"/>
      <c r="D501" s="393"/>
      <c r="E501" s="232">
        <f>SUM(E500)</f>
        <v>158.62566666666669</v>
      </c>
    </row>
    <row r="502" spans="1:5" ht="24" customHeight="1" thickBot="1" x14ac:dyDescent="0.3">
      <c r="B502" s="100"/>
      <c r="C502" s="100"/>
      <c r="D502" s="100"/>
    </row>
    <row r="503" spans="1:5" ht="24" customHeight="1" thickBot="1" x14ac:dyDescent="0.3">
      <c r="A503" s="394" t="s">
        <v>155</v>
      </c>
      <c r="B503" s="395"/>
      <c r="C503" s="395"/>
      <c r="D503" s="396"/>
    </row>
    <row r="504" spans="1:5" ht="24" customHeight="1" thickBot="1" x14ac:dyDescent="0.3">
      <c r="A504" s="103" t="s">
        <v>3</v>
      </c>
      <c r="B504" s="104" t="s">
        <v>99</v>
      </c>
      <c r="C504" s="104" t="s">
        <v>100</v>
      </c>
      <c r="D504" s="192" t="s">
        <v>123</v>
      </c>
    </row>
    <row r="505" spans="1:5" ht="24" customHeight="1" x14ac:dyDescent="0.25">
      <c r="A505" s="3" t="s">
        <v>234</v>
      </c>
      <c r="B505" s="314">
        <f>E497*12</f>
        <v>1796.5889999999999</v>
      </c>
      <c r="C505" s="314">
        <f t="shared" ref="C505:C510" si="129">(B505/12)</f>
        <v>149.71574999999999</v>
      </c>
      <c r="D505" s="321">
        <f t="shared" ref="D505:D510" si="130">C505/2</f>
        <v>74.857874999999993</v>
      </c>
    </row>
    <row r="506" spans="1:5" ht="24" customHeight="1" thickBot="1" x14ac:dyDescent="0.3">
      <c r="A506" s="2" t="s">
        <v>237</v>
      </c>
      <c r="B506" s="316">
        <f>E497*12</f>
        <v>1796.5889999999999</v>
      </c>
      <c r="C506" s="316">
        <f t="shared" si="129"/>
        <v>149.71574999999999</v>
      </c>
      <c r="D506" s="322">
        <f t="shared" si="130"/>
        <v>74.857874999999993</v>
      </c>
    </row>
    <row r="507" spans="1:5" ht="24" customHeight="1" x14ac:dyDescent="0.25">
      <c r="A507" s="3" t="s">
        <v>339</v>
      </c>
      <c r="B507" s="314">
        <f>(E497+E501)*12</f>
        <v>3700.0969999999998</v>
      </c>
      <c r="C507" s="314">
        <f t="shared" si="129"/>
        <v>308.34141666666665</v>
      </c>
      <c r="D507" s="321">
        <f t="shared" si="130"/>
        <v>154.17070833333332</v>
      </c>
    </row>
    <row r="508" spans="1:5" ht="24" customHeight="1" thickBot="1" x14ac:dyDescent="0.3">
      <c r="A508" s="2" t="s">
        <v>340</v>
      </c>
      <c r="B508" s="316">
        <f>(E497+E501)*12</f>
        <v>3700.0969999999998</v>
      </c>
      <c r="C508" s="316">
        <f t="shared" si="129"/>
        <v>308.34141666666665</v>
      </c>
      <c r="D508" s="322">
        <f t="shared" si="130"/>
        <v>154.17070833333332</v>
      </c>
    </row>
    <row r="509" spans="1:5" ht="24" customHeight="1" x14ac:dyDescent="0.25">
      <c r="A509" s="3" t="s">
        <v>235</v>
      </c>
      <c r="B509" s="314">
        <f>E497*12</f>
        <v>1796.5889999999999</v>
      </c>
      <c r="C509" s="314">
        <f t="shared" si="129"/>
        <v>149.71574999999999</v>
      </c>
      <c r="D509" s="321">
        <f t="shared" si="130"/>
        <v>74.857874999999993</v>
      </c>
    </row>
    <row r="510" spans="1:5" ht="24" customHeight="1" thickBot="1" x14ac:dyDescent="0.3">
      <c r="A510" s="2" t="s">
        <v>236</v>
      </c>
      <c r="B510" s="316">
        <f>E497*12</f>
        <v>1796.5889999999999</v>
      </c>
      <c r="C510" s="316">
        <f t="shared" si="129"/>
        <v>149.71574999999999</v>
      </c>
      <c r="D510" s="322">
        <f t="shared" si="130"/>
        <v>74.857874999999993</v>
      </c>
    </row>
    <row r="511" spans="1:5" ht="24" customHeight="1" thickBot="1" x14ac:dyDescent="0.3"/>
    <row r="512" spans="1:5" ht="24" customHeight="1" thickBot="1" x14ac:dyDescent="0.3">
      <c r="A512" s="386" t="s">
        <v>109</v>
      </c>
      <c r="B512" s="387"/>
      <c r="C512" s="387"/>
      <c r="D512" s="387"/>
      <c r="E512" s="388"/>
    </row>
    <row r="513" spans="1:8" ht="48" thickBot="1" x14ac:dyDescent="0.3">
      <c r="A513" s="85" t="s">
        <v>3</v>
      </c>
      <c r="B513" s="110" t="s">
        <v>156</v>
      </c>
      <c r="C513" s="110" t="s">
        <v>303</v>
      </c>
      <c r="D513" s="110" t="s">
        <v>304</v>
      </c>
      <c r="E513" s="86" t="s">
        <v>4</v>
      </c>
    </row>
    <row r="514" spans="1:8" ht="24" customHeight="1" x14ac:dyDescent="0.25">
      <c r="A514" s="3" t="s">
        <v>234</v>
      </c>
      <c r="B514" s="111">
        <f t="shared" ref="B514:B519" si="131">C457</f>
        <v>256.16666666666669</v>
      </c>
      <c r="C514" s="111">
        <f t="shared" ref="C514:C519" si="132">C485</f>
        <v>48.236249999999991</v>
      </c>
      <c r="D514" s="111">
        <f>D505</f>
        <v>74.857874999999993</v>
      </c>
      <c r="E514" s="321">
        <f>SUM(B514:D514)</f>
        <v>379.26079166666665</v>
      </c>
    </row>
    <row r="515" spans="1:8" ht="24" customHeight="1" thickBot="1" x14ac:dyDescent="0.3">
      <c r="A515" s="4" t="s">
        <v>237</v>
      </c>
      <c r="B515" s="323">
        <f t="shared" si="131"/>
        <v>256.16666666666669</v>
      </c>
      <c r="C515" s="323">
        <f t="shared" si="132"/>
        <v>48.236249999999991</v>
      </c>
      <c r="D515" s="323">
        <f>D506</f>
        <v>74.857874999999993</v>
      </c>
      <c r="E515" s="322">
        <f t="shared" ref="E515:E519" si="133">SUM(B515:D515)</f>
        <v>379.26079166666665</v>
      </c>
    </row>
    <row r="516" spans="1:8" ht="24" customHeight="1" x14ac:dyDescent="0.25">
      <c r="A516" s="3" t="s">
        <v>339</v>
      </c>
      <c r="B516" s="111">
        <f t="shared" si="131"/>
        <v>256.16666666666669</v>
      </c>
      <c r="C516" s="111">
        <f t="shared" si="132"/>
        <v>134.48625000000001</v>
      </c>
      <c r="D516" s="111">
        <f t="shared" ref="D516:D519" si="134">D507</f>
        <v>154.17070833333332</v>
      </c>
      <c r="E516" s="321">
        <f t="shared" si="133"/>
        <v>544.82362499999999</v>
      </c>
    </row>
    <row r="517" spans="1:8" ht="24" customHeight="1" thickBot="1" x14ac:dyDescent="0.3">
      <c r="A517" s="2" t="s">
        <v>340</v>
      </c>
      <c r="B517" s="323">
        <f t="shared" si="131"/>
        <v>256.16666666666669</v>
      </c>
      <c r="C517" s="323">
        <f t="shared" si="132"/>
        <v>134.48625000000001</v>
      </c>
      <c r="D517" s="323">
        <f t="shared" si="134"/>
        <v>154.17070833333332</v>
      </c>
      <c r="E517" s="322">
        <f t="shared" si="133"/>
        <v>544.82362499999999</v>
      </c>
    </row>
    <row r="518" spans="1:8" ht="24" customHeight="1" x14ac:dyDescent="0.25">
      <c r="A518" s="3" t="s">
        <v>235</v>
      </c>
      <c r="B518" s="111">
        <f t="shared" si="131"/>
        <v>256.16666666666669</v>
      </c>
      <c r="C518" s="111">
        <f t="shared" si="132"/>
        <v>48.236249999999991</v>
      </c>
      <c r="D518" s="111">
        <f t="shared" si="134"/>
        <v>74.857874999999993</v>
      </c>
      <c r="E518" s="321">
        <f t="shared" si="133"/>
        <v>379.26079166666665</v>
      </c>
    </row>
    <row r="519" spans="1:8" ht="24" customHeight="1" thickBot="1" x14ac:dyDescent="0.3">
      <c r="A519" s="2" t="s">
        <v>236</v>
      </c>
      <c r="B519" s="324">
        <f t="shared" si="131"/>
        <v>256.16666666666669</v>
      </c>
      <c r="C519" s="324">
        <f t="shared" si="132"/>
        <v>48.236249999999991</v>
      </c>
      <c r="D519" s="324">
        <f t="shared" si="134"/>
        <v>74.857874999999993</v>
      </c>
      <c r="E519" s="322">
        <f t="shared" si="133"/>
        <v>379.26079166666665</v>
      </c>
    </row>
    <row r="521" spans="1:8" ht="24" customHeight="1" x14ac:dyDescent="0.25">
      <c r="A521" s="351" t="s">
        <v>110</v>
      </c>
      <c r="B521" s="351"/>
      <c r="C521" s="351"/>
      <c r="D521" s="351"/>
      <c r="E521" s="351"/>
      <c r="F521" s="351"/>
      <c r="G521" s="351"/>
      <c r="H521" s="351"/>
    </row>
    <row r="522" spans="1:8" ht="24" customHeight="1" thickBot="1" x14ac:dyDescent="0.3">
      <c r="A522" s="378"/>
      <c r="B522" s="378"/>
      <c r="C522" s="378"/>
      <c r="D522" s="378"/>
      <c r="E522" s="378"/>
      <c r="F522" s="378"/>
    </row>
    <row r="523" spans="1:8" ht="26.25" customHeight="1" x14ac:dyDescent="0.25">
      <c r="A523" s="372" t="s">
        <v>137</v>
      </c>
      <c r="B523" s="373"/>
      <c r="C523" s="92"/>
      <c r="D523" s="92"/>
      <c r="E523" s="92"/>
      <c r="F523" s="92"/>
    </row>
    <row r="524" spans="1:8" ht="24" customHeight="1" x14ac:dyDescent="0.25">
      <c r="A524" s="95" t="s">
        <v>138</v>
      </c>
      <c r="B524" s="330">
        <v>0.03</v>
      </c>
      <c r="C524" s="92"/>
      <c r="D524" s="92"/>
      <c r="E524" s="92"/>
      <c r="F524" s="92"/>
    </row>
    <row r="525" spans="1:8" ht="24" customHeight="1" x14ac:dyDescent="0.25">
      <c r="A525" s="95" t="s">
        <v>139</v>
      </c>
      <c r="B525" s="330">
        <v>8.6499999999999994E-2</v>
      </c>
      <c r="C525" s="92"/>
      <c r="D525" s="92"/>
      <c r="E525" s="92"/>
      <c r="F525" s="92"/>
    </row>
    <row r="526" spans="1:8" ht="24" customHeight="1" thickBot="1" x14ac:dyDescent="0.3">
      <c r="A526" s="96" t="s">
        <v>140</v>
      </c>
      <c r="B526" s="331">
        <v>3.2599999999999997E-2</v>
      </c>
      <c r="C526" s="92"/>
      <c r="D526" s="92"/>
      <c r="E526" s="92"/>
      <c r="F526" s="92"/>
    </row>
    <row r="527" spans="1:8" ht="24" customHeight="1" thickBot="1" x14ac:dyDescent="0.3"/>
    <row r="528" spans="1:8" ht="24" customHeight="1" thickBot="1" x14ac:dyDescent="0.3">
      <c r="A528" s="353" t="s">
        <v>110</v>
      </c>
      <c r="B528" s="354"/>
      <c r="C528" s="354"/>
      <c r="D528" s="355"/>
    </row>
    <row r="529" spans="1:8" ht="24" customHeight="1" thickBot="1" x14ac:dyDescent="0.3">
      <c r="A529" s="12" t="s">
        <v>3</v>
      </c>
      <c r="B529" s="13" t="s">
        <v>1</v>
      </c>
      <c r="C529" s="13" t="s">
        <v>2</v>
      </c>
      <c r="D529" s="14" t="s">
        <v>4</v>
      </c>
    </row>
    <row r="530" spans="1:8" ht="24" customHeight="1" x14ac:dyDescent="0.25">
      <c r="A530" s="3" t="s">
        <v>234</v>
      </c>
      <c r="B530" s="83">
        <f t="shared" ref="B530:B535" si="135">H69+E253+E353+D432+D514</f>
        <v>5178.092662780753</v>
      </c>
      <c r="C530" s="97">
        <f t="shared" ref="C530:C535" si="136">((1+$B$524)/(1-$B$525-$B$526))-1</f>
        <v>0.16925871268021342</v>
      </c>
      <c r="D530" s="7">
        <f>B530*C530</f>
        <v>876.4372982411287</v>
      </c>
    </row>
    <row r="531" spans="1:8" ht="24" customHeight="1" thickBot="1" x14ac:dyDescent="0.3">
      <c r="A531" s="4" t="s">
        <v>237</v>
      </c>
      <c r="B531" s="84">
        <f t="shared" si="135"/>
        <v>5909.4874531634769</v>
      </c>
      <c r="C531" s="98">
        <f t="shared" si="136"/>
        <v>0.16925871268021342</v>
      </c>
      <c r="D531" s="8">
        <f t="shared" ref="D531:D535" si="137">B531*C531</f>
        <v>1000.2322389223231</v>
      </c>
    </row>
    <row r="532" spans="1:8" ht="24" customHeight="1" x14ac:dyDescent="0.25">
      <c r="A532" s="3" t="s">
        <v>339</v>
      </c>
      <c r="B532" s="83">
        <f t="shared" si="135"/>
        <v>5632.7975184458919</v>
      </c>
      <c r="C532" s="97">
        <f t="shared" si="136"/>
        <v>0.16925871268021342</v>
      </c>
      <c r="D532" s="7">
        <f>B532*C532</f>
        <v>953.40005676045234</v>
      </c>
    </row>
    <row r="533" spans="1:8" ht="24" customHeight="1" thickBot="1" x14ac:dyDescent="0.3">
      <c r="A533" s="2" t="s">
        <v>340</v>
      </c>
      <c r="B533" s="84">
        <f t="shared" si="135"/>
        <v>6316.2597210581825</v>
      </c>
      <c r="C533" s="98">
        <f t="shared" si="136"/>
        <v>0.16925871268021342</v>
      </c>
      <c r="D533" s="8">
        <f t="shared" ref="D533" si="138">B533*C533</f>
        <v>1069.081989340192</v>
      </c>
    </row>
    <row r="534" spans="1:8" ht="24" customHeight="1" x14ac:dyDescent="0.25">
      <c r="A534" s="3" t="s">
        <v>235</v>
      </c>
      <c r="B534" s="83">
        <f t="shared" si="135"/>
        <v>5243.9599709152471</v>
      </c>
      <c r="C534" s="97">
        <f t="shared" si="136"/>
        <v>0.16925871268021342</v>
      </c>
      <c r="D534" s="7">
        <f t="shared" si="137"/>
        <v>887.58591402368415</v>
      </c>
    </row>
    <row r="535" spans="1:8" ht="24" customHeight="1" thickBot="1" x14ac:dyDescent="0.3">
      <c r="A535" s="2" t="s">
        <v>236</v>
      </c>
      <c r="B535" s="234">
        <f t="shared" si="135"/>
        <v>5930.9937289581139</v>
      </c>
      <c r="C535" s="235">
        <f t="shared" si="136"/>
        <v>0.16925871268021342</v>
      </c>
      <c r="D535" s="67">
        <f t="shared" si="137"/>
        <v>1003.872363477869</v>
      </c>
    </row>
    <row r="537" spans="1:8" ht="24" customHeight="1" x14ac:dyDescent="0.25">
      <c r="A537" s="351" t="s">
        <v>261</v>
      </c>
      <c r="B537" s="351"/>
      <c r="C537" s="351"/>
      <c r="D537" s="351"/>
      <c r="E537" s="351"/>
      <c r="F537" s="351"/>
      <c r="G537" s="351"/>
      <c r="H537" s="351"/>
    </row>
    <row r="538" spans="1:8" ht="24" customHeight="1" x14ac:dyDescent="0.25">
      <c r="A538" s="352" t="s">
        <v>225</v>
      </c>
      <c r="B538" s="352"/>
      <c r="C538" s="352"/>
      <c r="D538" s="352"/>
      <c r="E538" s="352"/>
      <c r="F538" s="352"/>
    </row>
    <row r="539" spans="1:8" ht="24" customHeight="1" thickBot="1" x14ac:dyDescent="0.3"/>
    <row r="540" spans="1:8" ht="24" customHeight="1" thickBot="1" x14ac:dyDescent="0.3">
      <c r="A540" s="345" t="s">
        <v>112</v>
      </c>
      <c r="B540" s="346"/>
      <c r="C540" s="346"/>
      <c r="D540" s="347"/>
    </row>
    <row r="541" spans="1:8" ht="24" customHeight="1" thickBot="1" x14ac:dyDescent="0.3">
      <c r="A541" s="37" t="s">
        <v>3</v>
      </c>
      <c r="B541" s="38" t="s">
        <v>1</v>
      </c>
      <c r="C541" s="38" t="s">
        <v>111</v>
      </c>
      <c r="D541" s="39" t="s">
        <v>4</v>
      </c>
    </row>
    <row r="542" spans="1:8" ht="24" customHeight="1" x14ac:dyDescent="0.25">
      <c r="A542" s="3" t="s">
        <v>235</v>
      </c>
      <c r="B542" s="5">
        <f>H73+E357+D436+D518+D534</f>
        <v>3837.8832098472649</v>
      </c>
      <c r="C542" s="68">
        <v>8</v>
      </c>
      <c r="D542" s="7">
        <f>B542/C542</f>
        <v>479.73540123090811</v>
      </c>
    </row>
    <row r="543" spans="1:8" ht="24" customHeight="1" thickBot="1" x14ac:dyDescent="0.3">
      <c r="A543" s="2" t="s">
        <v>236</v>
      </c>
      <c r="B543" s="65">
        <f>H74+E358+D437+D519+D535</f>
        <v>4386.1256537290401</v>
      </c>
      <c r="C543" s="69">
        <v>8</v>
      </c>
      <c r="D543" s="67">
        <f t="shared" ref="D543" si="139">B543/C543</f>
        <v>548.26570671613001</v>
      </c>
    </row>
    <row r="545" spans="1:8" ht="24" customHeight="1" x14ac:dyDescent="0.25">
      <c r="A545" s="351" t="s">
        <v>141</v>
      </c>
      <c r="B545" s="351"/>
      <c r="C545" s="351"/>
      <c r="D545" s="351"/>
      <c r="E545" s="351"/>
      <c r="F545" s="351"/>
      <c r="G545" s="351"/>
      <c r="H545" s="351"/>
    </row>
    <row r="546" spans="1:8" ht="24" customHeight="1" thickBot="1" x14ac:dyDescent="0.3"/>
    <row r="547" spans="1:8" ht="24" customHeight="1" thickBot="1" x14ac:dyDescent="0.3">
      <c r="A547" s="345" t="s">
        <v>142</v>
      </c>
      <c r="B547" s="346"/>
      <c r="C547" s="346"/>
      <c r="D547" s="346"/>
      <c r="E547" s="347"/>
    </row>
    <row r="548" spans="1:8" ht="24" customHeight="1" thickBot="1" x14ac:dyDescent="0.3">
      <c r="A548" s="325"/>
      <c r="B548" s="346" t="s">
        <v>260</v>
      </c>
      <c r="C548" s="347"/>
      <c r="D548" s="346" t="s">
        <v>341</v>
      </c>
      <c r="E548" s="347"/>
    </row>
    <row r="549" spans="1:8" ht="24" customHeight="1" thickBot="1" x14ac:dyDescent="0.3">
      <c r="A549" s="151" t="s">
        <v>113</v>
      </c>
      <c r="B549" s="35" t="s">
        <v>114</v>
      </c>
      <c r="C549" s="36" t="s">
        <v>115</v>
      </c>
      <c r="D549" s="35" t="s">
        <v>114</v>
      </c>
      <c r="E549" s="36" t="s">
        <v>115</v>
      </c>
    </row>
    <row r="550" spans="1:8" ht="24" customHeight="1" x14ac:dyDescent="0.25">
      <c r="A550" s="40" t="s">
        <v>116</v>
      </c>
      <c r="B550" s="5">
        <f>H69</f>
        <v>2284.8468499999999</v>
      </c>
      <c r="C550" s="5">
        <f>H70</f>
        <v>2665.6546583333334</v>
      </c>
      <c r="D550" s="5">
        <f>H71</f>
        <v>2492.9184500000001</v>
      </c>
      <c r="E550" s="63">
        <f>H72</f>
        <v>2873.7262583333336</v>
      </c>
    </row>
    <row r="551" spans="1:8" ht="24" customHeight="1" x14ac:dyDescent="0.25">
      <c r="A551" s="23" t="s">
        <v>117</v>
      </c>
      <c r="B551" s="6">
        <f>E253</f>
        <v>2154.2893816916667</v>
      </c>
      <c r="C551" s="6">
        <f>E254</f>
        <v>2409.3671453069446</v>
      </c>
      <c r="D551" s="6">
        <f>E255</f>
        <v>2293.6626750916671</v>
      </c>
      <c r="E551" s="238">
        <f>E256</f>
        <v>2504.3763290361112</v>
      </c>
    </row>
    <row r="552" spans="1:8" ht="24" customHeight="1" x14ac:dyDescent="0.25">
      <c r="A552" s="23" t="s">
        <v>118</v>
      </c>
      <c r="B552" s="6">
        <f>E353</f>
        <v>100.55957653556722</v>
      </c>
      <c r="C552" s="6">
        <f>E354</f>
        <v>115.30247890482842</v>
      </c>
      <c r="D552" s="6">
        <f>E355</f>
        <v>108.6150292271539</v>
      </c>
      <c r="E552" s="238">
        <f>E356</f>
        <v>122.32935701251317</v>
      </c>
    </row>
    <row r="553" spans="1:8" ht="24" customHeight="1" x14ac:dyDescent="0.25">
      <c r="A553" s="23" t="s">
        <v>119</v>
      </c>
      <c r="B553" s="6">
        <f>D432</f>
        <v>563.53897955351954</v>
      </c>
      <c r="C553" s="6">
        <f>D433</f>
        <v>644.30529561836988</v>
      </c>
      <c r="D553" s="6">
        <f>D434</f>
        <v>583.43065579373774</v>
      </c>
      <c r="E553" s="238">
        <f>D435</f>
        <v>661.65706834289085</v>
      </c>
    </row>
    <row r="554" spans="1:8" ht="24" customHeight="1" x14ac:dyDescent="0.25">
      <c r="A554" s="23" t="s">
        <v>120</v>
      </c>
      <c r="B554" s="6">
        <f>E514</f>
        <v>379.26079166666665</v>
      </c>
      <c r="C554" s="6">
        <f>E515</f>
        <v>379.26079166666665</v>
      </c>
      <c r="D554" s="6">
        <f>E516</f>
        <v>544.82362499999999</v>
      </c>
      <c r="E554" s="238">
        <f>E517</f>
        <v>544.82362499999999</v>
      </c>
    </row>
    <row r="555" spans="1:8" ht="24" customHeight="1" x14ac:dyDescent="0.25">
      <c r="A555" s="23" t="s">
        <v>121</v>
      </c>
      <c r="B555" s="6">
        <f>D530</f>
        <v>876.4372982411287</v>
      </c>
      <c r="C555" s="6">
        <f>D531</f>
        <v>1000.2322389223231</v>
      </c>
      <c r="D555" s="6">
        <f>D532</f>
        <v>953.40005676045234</v>
      </c>
      <c r="E555" s="238">
        <f>D533</f>
        <v>1069.081989340192</v>
      </c>
    </row>
    <row r="556" spans="1:8" ht="24" customHeight="1" thickBot="1" x14ac:dyDescent="0.3">
      <c r="A556" s="24" t="s">
        <v>124</v>
      </c>
      <c r="B556" s="74">
        <f>D542</f>
        <v>479.73540123090811</v>
      </c>
      <c r="C556" s="74">
        <f>D543</f>
        <v>548.26570671613001</v>
      </c>
      <c r="D556" s="74">
        <f>D542</f>
        <v>479.73540123090811</v>
      </c>
      <c r="E556" s="326">
        <f>D543</f>
        <v>548.26570671613001</v>
      </c>
    </row>
    <row r="557" spans="1:8" ht="24" customHeight="1" thickBot="1" x14ac:dyDescent="0.3">
      <c r="A557" s="296" t="s">
        <v>122</v>
      </c>
      <c r="B557" s="297">
        <f>ROUND(SUM(B550:B556),(2))</f>
        <v>6838.67</v>
      </c>
      <c r="C557" s="297">
        <f>ROUND(SUM(C550:C556),(2))</f>
        <v>7762.39</v>
      </c>
      <c r="D557" s="297">
        <f>ROUND(SUM(D550:D556),(2))</f>
        <v>7456.59</v>
      </c>
      <c r="E557" s="298">
        <f>ROUND(SUM(E550:E556),(2))</f>
        <v>8324.26</v>
      </c>
    </row>
    <row r="558" spans="1:8" ht="24" customHeight="1" thickBot="1" x14ac:dyDescent="0.3">
      <c r="A558" s="151" t="s">
        <v>123</v>
      </c>
      <c r="B558" s="59">
        <f>ROUND(SUM(B557),(2))*2</f>
        <v>13677.34</v>
      </c>
      <c r="C558" s="59">
        <f>ROUND(SUM(C557),(2))*2</f>
        <v>15524.78</v>
      </c>
      <c r="D558" s="59">
        <f>ROUND(SUM(D557),(2))*2</f>
        <v>14913.18</v>
      </c>
      <c r="E558" s="239">
        <f>ROUND(SUM(E557),(2))*2</f>
        <v>16648.52</v>
      </c>
    </row>
    <row r="559" spans="1:8" ht="24" customHeight="1" x14ac:dyDescent="0.25">
      <c r="A559" s="52"/>
    </row>
    <row r="560" spans="1:8" ht="24" customHeight="1" x14ac:dyDescent="0.25">
      <c r="A560" s="52"/>
    </row>
    <row r="561" spans="1:1" ht="24" customHeight="1" x14ac:dyDescent="0.25">
      <c r="A561" s="52"/>
    </row>
  </sheetData>
  <mergeCells count="107">
    <mergeCell ref="A107:E107"/>
    <mergeCell ref="A441:D441"/>
    <mergeCell ref="A453:C453"/>
    <mergeCell ref="A455:C455"/>
    <mergeCell ref="A149:D149"/>
    <mergeCell ref="A501:D501"/>
    <mergeCell ref="A503:D503"/>
    <mergeCell ref="A428:H428"/>
    <mergeCell ref="A439:H439"/>
    <mergeCell ref="A430:D430"/>
    <mergeCell ref="A407:E407"/>
    <mergeCell ref="A180:D180"/>
    <mergeCell ref="A162:E162"/>
    <mergeCell ref="A160:E160"/>
    <mergeCell ref="D364:E364"/>
    <mergeCell ref="A464:D464"/>
    <mergeCell ref="A481:C481"/>
    <mergeCell ref="A483:C483"/>
    <mergeCell ref="A492:E492"/>
    <mergeCell ref="A497:D497"/>
    <mergeCell ref="A499:E499"/>
    <mergeCell ref="A476:C476"/>
    <mergeCell ref="A478:D478"/>
    <mergeCell ref="A522:F522"/>
    <mergeCell ref="A218:D218"/>
    <mergeCell ref="A219:D219"/>
    <mergeCell ref="A229:D229"/>
    <mergeCell ref="A249:E249"/>
    <mergeCell ref="A273:D273"/>
    <mergeCell ref="A291:F291"/>
    <mergeCell ref="A189:D189"/>
    <mergeCell ref="A231:D231"/>
    <mergeCell ref="A262:B262"/>
    <mergeCell ref="A282:D282"/>
    <mergeCell ref="A251:E251"/>
    <mergeCell ref="A271:H271"/>
    <mergeCell ref="A260:H260"/>
    <mergeCell ref="A240:F240"/>
    <mergeCell ref="A521:H521"/>
    <mergeCell ref="A512:E512"/>
    <mergeCell ref="A523:B523"/>
    <mergeCell ref="A1:H1"/>
    <mergeCell ref="A6:H6"/>
    <mergeCell ref="A10:B10"/>
    <mergeCell ref="A28:D28"/>
    <mergeCell ref="A49:D49"/>
    <mergeCell ref="A2:H2"/>
    <mergeCell ref="A8:H8"/>
    <mergeCell ref="A14:H14"/>
    <mergeCell ref="A78:H78"/>
    <mergeCell ref="A21:D21"/>
    <mergeCell ref="A16:D16"/>
    <mergeCell ref="A39:E39"/>
    <mergeCell ref="A26:H26"/>
    <mergeCell ref="A37:H37"/>
    <mergeCell ref="A44:E44"/>
    <mergeCell ref="A56:D56"/>
    <mergeCell ref="A4:H4"/>
    <mergeCell ref="A54:H54"/>
    <mergeCell ref="A80:D80"/>
    <mergeCell ref="A119:B119"/>
    <mergeCell ref="A131:D131"/>
    <mergeCell ref="A116:H116"/>
    <mergeCell ref="A98:E98"/>
    <mergeCell ref="A300:H300"/>
    <mergeCell ref="A329:H329"/>
    <mergeCell ref="A320:F320"/>
    <mergeCell ref="A396:H396"/>
    <mergeCell ref="A416:H416"/>
    <mergeCell ref="A364:A365"/>
    <mergeCell ref="B364:B365"/>
    <mergeCell ref="C364:C365"/>
    <mergeCell ref="A351:E351"/>
    <mergeCell ref="A362:E362"/>
    <mergeCell ref="A363:E363"/>
    <mergeCell ref="B380:C380"/>
    <mergeCell ref="A379:C379"/>
    <mergeCell ref="A349:H349"/>
    <mergeCell ref="A360:H360"/>
    <mergeCell ref="A302:D302"/>
    <mergeCell ref="A311:D311"/>
    <mergeCell ref="A340:D340"/>
    <mergeCell ref="A331:E331"/>
    <mergeCell ref="A547:E547"/>
    <mergeCell ref="D548:E548"/>
    <mergeCell ref="B548:C548"/>
    <mergeCell ref="A220:D220"/>
    <mergeCell ref="A65:H65"/>
    <mergeCell ref="A76:H76"/>
    <mergeCell ref="A117:H117"/>
    <mergeCell ref="A191:D191"/>
    <mergeCell ref="A200:D200"/>
    <mergeCell ref="A209:D209"/>
    <mergeCell ref="A171:E171"/>
    <mergeCell ref="A158:H158"/>
    <mergeCell ref="A140:D140"/>
    <mergeCell ref="A89:D89"/>
    <mergeCell ref="A67:H67"/>
    <mergeCell ref="A545:H545"/>
    <mergeCell ref="A418:D418"/>
    <mergeCell ref="A423:D423"/>
    <mergeCell ref="A380:A381"/>
    <mergeCell ref="A398:D398"/>
    <mergeCell ref="A528:D528"/>
    <mergeCell ref="A540:D540"/>
    <mergeCell ref="A538:F538"/>
    <mergeCell ref="A537:H537"/>
  </mergeCells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  <ignoredErrors>
    <ignoredError sqref="C70" formula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31"/>
  <sheetViews>
    <sheetView showGridLines="0" topLeftCell="A110" zoomScale="115" zoomScaleNormal="115" workbookViewId="0">
      <selection activeCell="C127" sqref="C127"/>
    </sheetView>
  </sheetViews>
  <sheetFormatPr defaultColWidth="9.140625" defaultRowHeight="15.75" x14ac:dyDescent="0.25"/>
  <cols>
    <col min="1" max="1" width="9.140625" style="120"/>
    <col min="2" max="2" width="76.5703125" style="120" customWidth="1"/>
    <col min="3" max="3" width="18" style="120" customWidth="1"/>
    <col min="4" max="4" width="14.28515625" style="120" customWidth="1"/>
    <col min="5" max="5" width="12.7109375" style="120" customWidth="1"/>
    <col min="6" max="6" width="12" style="120" customWidth="1"/>
    <col min="7" max="7" width="15.140625" style="120" customWidth="1"/>
    <col min="8" max="16384" width="9.140625" style="120"/>
  </cols>
  <sheetData>
    <row r="1" spans="1:4" ht="23.25" x14ac:dyDescent="0.35">
      <c r="A1" s="374" t="s">
        <v>220</v>
      </c>
      <c r="B1" s="374"/>
      <c r="C1" s="374"/>
      <c r="D1" s="374"/>
    </row>
    <row r="2" spans="1:4" ht="23.25" x14ac:dyDescent="0.35">
      <c r="A2" s="374" t="s">
        <v>343</v>
      </c>
      <c r="B2" s="374"/>
      <c r="C2" s="374"/>
      <c r="D2" s="374"/>
    </row>
    <row r="3" spans="1:4" x14ac:dyDescent="0.25">
      <c r="A3" s="402" t="s">
        <v>226</v>
      </c>
      <c r="B3" s="402"/>
      <c r="C3" s="402"/>
      <c r="D3" s="402"/>
    </row>
    <row r="4" spans="1:4" ht="16.5" thickBot="1" x14ac:dyDescent="0.3">
      <c r="A4" s="143"/>
      <c r="B4" s="143"/>
      <c r="C4" s="143"/>
      <c r="D4" s="143"/>
    </row>
    <row r="5" spans="1:4" ht="16.5" thickBot="1" x14ac:dyDescent="0.3">
      <c r="A5" s="399" t="s">
        <v>240</v>
      </c>
      <c r="B5" s="400"/>
      <c r="C5" s="401"/>
      <c r="D5" s="143"/>
    </row>
    <row r="6" spans="1:4" s="220" customFormat="1" ht="16.5" thickBot="1" x14ac:dyDescent="0.3">
      <c r="A6" s="407" t="s">
        <v>230</v>
      </c>
      <c r="B6" s="408"/>
      <c r="C6" s="409"/>
      <c r="D6" s="219"/>
    </row>
    <row r="8" spans="1:4" x14ac:dyDescent="0.25">
      <c r="A8" s="383" t="s">
        <v>157</v>
      </c>
      <c r="B8" s="383"/>
      <c r="C8" s="383"/>
    </row>
    <row r="9" spans="1:4" ht="16.5" thickBot="1" x14ac:dyDescent="0.3"/>
    <row r="10" spans="1:4" ht="16.5" thickBot="1" x14ac:dyDescent="0.3">
      <c r="A10" s="112">
        <v>1</v>
      </c>
      <c r="B10" s="113" t="s">
        <v>158</v>
      </c>
      <c r="C10" s="113" t="s">
        <v>159</v>
      </c>
    </row>
    <row r="11" spans="1:4" ht="16.5" thickBot="1" x14ac:dyDescent="0.3">
      <c r="A11" s="114" t="s">
        <v>160</v>
      </c>
      <c r="B11" s="115" t="str">
        <f>'Custo por trabalhador'!B68</f>
        <v>Salário Base - Cláusula 3ª, CCT 2024/2026</v>
      </c>
      <c r="C11" s="135">
        <f>'Custo por trabalhador'!B69</f>
        <v>1733.93</v>
      </c>
    </row>
    <row r="12" spans="1:4" ht="17.45" customHeight="1" thickBot="1" x14ac:dyDescent="0.3">
      <c r="A12" s="114" t="s">
        <v>161</v>
      </c>
      <c r="B12" s="115" t="str">
        <f>'Custo por trabalhador'!C68</f>
        <v xml:space="preserve">Gratificação de Função e Adicional -  Cláusula 12ª CCT 2024/2026, § 1º, Alínea a </v>
      </c>
      <c r="C12" s="135">
        <f>'Custo por trabalhador'!C69</f>
        <v>0</v>
      </c>
    </row>
    <row r="13" spans="1:4" ht="17.45" customHeight="1" thickBot="1" x14ac:dyDescent="0.3">
      <c r="A13" s="114" t="s">
        <v>162</v>
      </c>
      <c r="B13" s="115" t="str">
        <f>'Custo por trabalhador'!D68</f>
        <v xml:space="preserve">Gratificação de Função e Adicional -  Cláusula 12ª CCT 2024/2026, § 2º, Alínea a </v>
      </c>
      <c r="C13" s="135">
        <f>'Custo por trabalhador'!D69</f>
        <v>0</v>
      </c>
    </row>
    <row r="14" spans="1:4" ht="16.5" thickBot="1" x14ac:dyDescent="0.3">
      <c r="A14" s="114" t="s">
        <v>163</v>
      </c>
      <c r="B14" s="115" t="str">
        <f>'Custo por trabalhador'!E68</f>
        <v>Adicional de   Periculosidade   - Cláusula 14º CCT 2024/2026</v>
      </c>
      <c r="C14" s="135">
        <f>'Custo por trabalhador'!E69</f>
        <v>520.17899999999997</v>
      </c>
    </row>
    <row r="15" spans="1:4" ht="16.5" thickBot="1" x14ac:dyDescent="0.3">
      <c r="A15" s="114" t="s">
        <v>164</v>
      </c>
      <c r="B15" s="115" t="str">
        <f>'Custo por trabalhador'!F68</f>
        <v>Adicional Noturno - Cláusula 13ª CCT 2024/2026</v>
      </c>
      <c r="C15" s="135">
        <f>'Custo por trabalhador'!F69</f>
        <v>0</v>
      </c>
    </row>
    <row r="16" spans="1:4" ht="16.5" thickBot="1" x14ac:dyDescent="0.3">
      <c r="A16" s="114" t="s">
        <v>165</v>
      </c>
      <c r="B16" s="115" t="str">
        <f>'Custo por trabalhador'!G68</f>
        <v>Adicional - Clausula 31º, § 4º - CCT 2024/2026</v>
      </c>
      <c r="C16" s="135">
        <f>'Custo por trabalhador'!G69</f>
        <v>30.737849999999995</v>
      </c>
    </row>
    <row r="17" spans="1:4" ht="16.5" thickBot="1" x14ac:dyDescent="0.3">
      <c r="A17" s="114"/>
      <c r="B17" s="115"/>
      <c r="C17" s="135"/>
    </row>
    <row r="18" spans="1:4" ht="16.5" thickBot="1" x14ac:dyDescent="0.3">
      <c r="A18" s="404" t="s">
        <v>12</v>
      </c>
      <c r="B18" s="405"/>
      <c r="C18" s="138">
        <f>SUM(C11:C17)</f>
        <v>2284.8468499999999</v>
      </c>
    </row>
    <row r="20" spans="1:4" x14ac:dyDescent="0.25">
      <c r="A20" s="383" t="s">
        <v>168</v>
      </c>
      <c r="B20" s="383"/>
      <c r="C20" s="383"/>
    </row>
    <row r="21" spans="1:4" x14ac:dyDescent="0.25">
      <c r="A21" s="28"/>
    </row>
    <row r="22" spans="1:4" x14ac:dyDescent="0.25">
      <c r="A22" s="403" t="s">
        <v>169</v>
      </c>
      <c r="B22" s="403"/>
      <c r="C22" s="403"/>
    </row>
    <row r="23" spans="1:4" ht="16.5" thickBot="1" x14ac:dyDescent="0.3"/>
    <row r="24" spans="1:4" ht="16.5" thickBot="1" x14ac:dyDescent="0.3">
      <c r="A24" s="112" t="s">
        <v>170</v>
      </c>
      <c r="B24" s="113" t="s">
        <v>171</v>
      </c>
      <c r="C24" s="113" t="s">
        <v>159</v>
      </c>
    </row>
    <row r="25" spans="1:4" ht="16.5" thickBot="1" x14ac:dyDescent="0.3">
      <c r="A25" s="114" t="s">
        <v>160</v>
      </c>
      <c r="B25" s="115" t="s">
        <v>172</v>
      </c>
      <c r="C25" s="135">
        <f>'Custo por trabalhador'!B109</f>
        <v>190.40390416666665</v>
      </c>
    </row>
    <row r="26" spans="1:4" ht="16.5" thickBot="1" x14ac:dyDescent="0.3">
      <c r="A26" s="114" t="s">
        <v>161</v>
      </c>
      <c r="B26" s="115" t="s">
        <v>173</v>
      </c>
      <c r="C26" s="135">
        <f>'Custo por trabalhador'!C109+'Custo por trabalhador'!D109</f>
        <v>253.87187222222218</v>
      </c>
    </row>
    <row r="27" spans="1:4" ht="16.5" thickBot="1" x14ac:dyDescent="0.3">
      <c r="A27" s="404" t="s">
        <v>12</v>
      </c>
      <c r="B27" s="405"/>
      <c r="C27" s="137">
        <f>SUM(C25:C26)</f>
        <v>444.27577638888886</v>
      </c>
    </row>
    <row r="29" spans="1:4" ht="32.25" customHeight="1" x14ac:dyDescent="0.25">
      <c r="A29" s="406" t="s">
        <v>174</v>
      </c>
      <c r="B29" s="406"/>
      <c r="C29" s="406"/>
      <c r="D29" s="406"/>
    </row>
    <row r="30" spans="1:4" ht="16.5" thickBot="1" x14ac:dyDescent="0.3"/>
    <row r="31" spans="1:4" ht="16.5" thickBot="1" x14ac:dyDescent="0.3">
      <c r="A31" s="112" t="s">
        <v>175</v>
      </c>
      <c r="B31" s="113" t="s">
        <v>176</v>
      </c>
      <c r="C31" s="113" t="s">
        <v>177</v>
      </c>
      <c r="D31" s="113" t="s">
        <v>159</v>
      </c>
    </row>
    <row r="32" spans="1:4" ht="16.5" thickBot="1" x14ac:dyDescent="0.3">
      <c r="A32" s="114" t="s">
        <v>160</v>
      </c>
      <c r="B32" s="115" t="s">
        <v>178</v>
      </c>
      <c r="C32" s="117">
        <f>'Custo por trabalhador'!B121</f>
        <v>0.2</v>
      </c>
      <c r="D32" s="135">
        <f t="shared" ref="D32:D39" si="0">($C$18+$C$27)*C32</f>
        <v>545.82452527777775</v>
      </c>
    </row>
    <row r="33" spans="1:4" ht="16.5" thickBot="1" x14ac:dyDescent="0.3">
      <c r="A33" s="114" t="s">
        <v>161</v>
      </c>
      <c r="B33" s="115" t="s">
        <v>179</v>
      </c>
      <c r="C33" s="117">
        <f>'Custo por trabalhador'!B122</f>
        <v>2.5000000000000001E-2</v>
      </c>
      <c r="D33" s="135">
        <f t="shared" si="0"/>
        <v>68.228065659722219</v>
      </c>
    </row>
    <row r="34" spans="1:4" ht="16.5" thickBot="1" x14ac:dyDescent="0.3">
      <c r="A34" s="114" t="s">
        <v>162</v>
      </c>
      <c r="B34" s="115" t="s">
        <v>180</v>
      </c>
      <c r="C34" s="118">
        <f>'Custo por trabalhador'!B123</f>
        <v>0.06</v>
      </c>
      <c r="D34" s="135">
        <f t="shared" si="0"/>
        <v>163.74735758333333</v>
      </c>
    </row>
    <row r="35" spans="1:4" ht="16.5" thickBot="1" x14ac:dyDescent="0.3">
      <c r="A35" s="114" t="s">
        <v>163</v>
      </c>
      <c r="B35" s="115" t="s">
        <v>181</v>
      </c>
      <c r="C35" s="117">
        <f>'Custo por trabalhador'!B124</f>
        <v>1.4999999999999999E-2</v>
      </c>
      <c r="D35" s="135">
        <f t="shared" si="0"/>
        <v>40.936839395833331</v>
      </c>
    </row>
    <row r="36" spans="1:4" ht="16.5" thickBot="1" x14ac:dyDescent="0.3">
      <c r="A36" s="114" t="s">
        <v>164</v>
      </c>
      <c r="B36" s="115" t="s">
        <v>182</v>
      </c>
      <c r="C36" s="117">
        <f>'Custo por trabalhador'!B125</f>
        <v>0.01</v>
      </c>
      <c r="D36" s="135">
        <f t="shared" si="0"/>
        <v>27.291226263888888</v>
      </c>
    </row>
    <row r="37" spans="1:4" ht="16.5" thickBot="1" x14ac:dyDescent="0.3">
      <c r="A37" s="114" t="s">
        <v>165</v>
      </c>
      <c r="B37" s="115" t="s">
        <v>25</v>
      </c>
      <c r="C37" s="117">
        <f>'Custo por trabalhador'!B126</f>
        <v>6.0000000000000001E-3</v>
      </c>
      <c r="D37" s="135">
        <f t="shared" si="0"/>
        <v>16.374735758333333</v>
      </c>
    </row>
    <row r="38" spans="1:4" ht="16.5" thickBot="1" x14ac:dyDescent="0.3">
      <c r="A38" s="114" t="s">
        <v>166</v>
      </c>
      <c r="B38" s="115" t="s">
        <v>26</v>
      </c>
      <c r="C38" s="117">
        <f>'Custo por trabalhador'!B127</f>
        <v>2E-3</v>
      </c>
      <c r="D38" s="135">
        <f t="shared" si="0"/>
        <v>5.4582452527777781</v>
      </c>
    </row>
    <row r="39" spans="1:4" ht="16.5" thickBot="1" x14ac:dyDescent="0.3">
      <c r="A39" s="114" t="s">
        <v>183</v>
      </c>
      <c r="B39" s="115" t="s">
        <v>27</v>
      </c>
      <c r="C39" s="117">
        <f>'Custo por trabalhador'!B128</f>
        <v>0.08</v>
      </c>
      <c r="D39" s="135">
        <f t="shared" si="0"/>
        <v>218.3298101111111</v>
      </c>
    </row>
    <row r="40" spans="1:4" ht="16.5" thickBot="1" x14ac:dyDescent="0.3">
      <c r="A40" s="404" t="s">
        <v>184</v>
      </c>
      <c r="B40" s="405"/>
      <c r="C40" s="117">
        <f>'Custo por trabalhador'!B129</f>
        <v>0.39800000000000008</v>
      </c>
      <c r="D40" s="138">
        <f>SUM(D32:D39)</f>
        <v>1086.1908053027778</v>
      </c>
    </row>
    <row r="42" spans="1:4" x14ac:dyDescent="0.25">
      <c r="A42" s="403" t="s">
        <v>185</v>
      </c>
      <c r="B42" s="403"/>
      <c r="C42" s="403"/>
    </row>
    <row r="43" spans="1:4" ht="16.5" thickBot="1" x14ac:dyDescent="0.3"/>
    <row r="44" spans="1:4" ht="16.5" thickBot="1" x14ac:dyDescent="0.3">
      <c r="A44" s="112" t="s">
        <v>186</v>
      </c>
      <c r="B44" s="113" t="s">
        <v>187</v>
      </c>
      <c r="C44" s="113" t="s">
        <v>159</v>
      </c>
    </row>
    <row r="45" spans="1:4" ht="16.5" thickBot="1" x14ac:dyDescent="0.3">
      <c r="A45" s="114" t="s">
        <v>160</v>
      </c>
      <c r="B45" s="115" t="str">
        <f>'Custo por trabalhador'!B241</f>
        <v>Vale Transporte - Cláusula 16ª CCT 2024/2026</v>
      </c>
      <c r="C45" s="135">
        <f>'Custo por trabalhador'!B242</f>
        <v>67.982100000000003</v>
      </c>
    </row>
    <row r="46" spans="1:4" ht="16.5" thickBot="1" x14ac:dyDescent="0.3">
      <c r="A46" s="114" t="s">
        <v>161</v>
      </c>
      <c r="B46" s="115" t="str">
        <f>'Custo por trabalhador'!C241</f>
        <v>Vale Refeição - Cláusula 15ª CCT 2024/2026</v>
      </c>
      <c r="C46" s="135">
        <f>'Custo por trabalhador'!C242</f>
        <v>471.96069999999997</v>
      </c>
    </row>
    <row r="47" spans="1:4" ht="16.5" thickBot="1" x14ac:dyDescent="0.3">
      <c r="A47" s="114" t="s">
        <v>162</v>
      </c>
      <c r="B47" s="115" t="str">
        <f>'Custo por trabalhador'!D241</f>
        <v xml:space="preserve"> Card Saúde- Abraps Bombank - Clausula 58º CCT 2024/2026</v>
      </c>
      <c r="C47" s="135">
        <f>'Custo por trabalhador'!D242</f>
        <v>83.88</v>
      </c>
    </row>
    <row r="48" spans="1:4" ht="16.5" thickBot="1" x14ac:dyDescent="0.3">
      <c r="A48" s="114" t="s">
        <v>163</v>
      </c>
      <c r="B48" s="115" t="s">
        <v>167</v>
      </c>
      <c r="C48" s="135">
        <f>'Custo por trabalhador'!E242</f>
        <v>0</v>
      </c>
    </row>
    <row r="49" spans="1:4" ht="16.5" thickBot="1" x14ac:dyDescent="0.3">
      <c r="A49" s="404" t="s">
        <v>12</v>
      </c>
      <c r="B49" s="405"/>
      <c r="C49" s="138">
        <f>SUM(C45:C48)</f>
        <v>623.82280000000003</v>
      </c>
    </row>
    <row r="51" spans="1:4" x14ac:dyDescent="0.25">
      <c r="A51" s="403" t="s">
        <v>188</v>
      </c>
      <c r="B51" s="403"/>
      <c r="C51" s="403"/>
    </row>
    <row r="52" spans="1:4" ht="16.5" thickBot="1" x14ac:dyDescent="0.3"/>
    <row r="53" spans="1:4" ht="16.5" thickBot="1" x14ac:dyDescent="0.3">
      <c r="A53" s="112">
        <v>2</v>
      </c>
      <c r="B53" s="113" t="s">
        <v>189</v>
      </c>
      <c r="C53" s="113" t="s">
        <v>159</v>
      </c>
    </row>
    <row r="54" spans="1:4" ht="16.5" thickBot="1" x14ac:dyDescent="0.3">
      <c r="A54" s="114" t="s">
        <v>170</v>
      </c>
      <c r="B54" s="115" t="s">
        <v>171</v>
      </c>
      <c r="C54" s="135">
        <f>'Custo por trabalhador'!B253</f>
        <v>444.27577638888886</v>
      </c>
    </row>
    <row r="55" spans="1:4" ht="16.5" thickBot="1" x14ac:dyDescent="0.3">
      <c r="A55" s="114" t="s">
        <v>175</v>
      </c>
      <c r="B55" s="115" t="s">
        <v>176</v>
      </c>
      <c r="C55" s="135">
        <f>'Custo por trabalhador'!C253</f>
        <v>1086.1908053027778</v>
      </c>
    </row>
    <row r="56" spans="1:4" ht="16.5" thickBot="1" x14ac:dyDescent="0.3">
      <c r="A56" s="114" t="s">
        <v>186</v>
      </c>
      <c r="B56" s="115" t="s">
        <v>187</v>
      </c>
      <c r="C56" s="135">
        <f>'Custo por trabalhador'!D253</f>
        <v>623.82280000000003</v>
      </c>
    </row>
    <row r="57" spans="1:4" ht="16.5" thickBot="1" x14ac:dyDescent="0.3">
      <c r="A57" s="404" t="s">
        <v>12</v>
      </c>
      <c r="B57" s="405"/>
      <c r="C57" s="138">
        <f>SUM(C54:C56)</f>
        <v>2154.2893816916667</v>
      </c>
    </row>
    <row r="58" spans="1:4" x14ac:dyDescent="0.25">
      <c r="A58" s="22"/>
    </row>
    <row r="59" spans="1:4" x14ac:dyDescent="0.25">
      <c r="A59" s="383" t="s">
        <v>190</v>
      </c>
      <c r="B59" s="383"/>
      <c r="C59" s="383"/>
    </row>
    <row r="60" spans="1:4" ht="16.5" thickBot="1" x14ac:dyDescent="0.3"/>
    <row r="61" spans="1:4" ht="16.5" thickBot="1" x14ac:dyDescent="0.3">
      <c r="A61" s="133">
        <v>3</v>
      </c>
      <c r="B61" s="193" t="s">
        <v>191</v>
      </c>
      <c r="C61" s="193" t="s">
        <v>159</v>
      </c>
      <c r="D61" s="193" t="s">
        <v>159</v>
      </c>
    </row>
    <row r="62" spans="1:4" x14ac:dyDescent="0.25">
      <c r="A62" s="40" t="s">
        <v>160</v>
      </c>
      <c r="B62" s="198" t="s">
        <v>192</v>
      </c>
      <c r="C62" s="199"/>
      <c r="D62" s="200">
        <f>'Custo por trabalhador'!B293</f>
        <v>2729.1226263888889</v>
      </c>
    </row>
    <row r="63" spans="1:4" x14ac:dyDescent="0.25">
      <c r="A63" s="23" t="s">
        <v>161</v>
      </c>
      <c r="B63" s="195" t="s">
        <v>193</v>
      </c>
      <c r="C63" s="197">
        <v>0.08</v>
      </c>
      <c r="D63" s="201">
        <f>'Custo por trabalhador'!C293</f>
        <v>218.3298101111111</v>
      </c>
    </row>
    <row r="64" spans="1:4" ht="16.5" thickBot="1" x14ac:dyDescent="0.3">
      <c r="A64" s="24" t="s">
        <v>162</v>
      </c>
      <c r="B64" s="202" t="s">
        <v>194</v>
      </c>
      <c r="C64" s="221">
        <v>0.4</v>
      </c>
      <c r="D64" s="204">
        <f>'Custo por trabalhador'!D293</f>
        <v>87.331924044444449</v>
      </c>
    </row>
    <row r="65" spans="1:4" ht="16.5" thickBot="1" x14ac:dyDescent="0.3">
      <c r="A65" s="208"/>
      <c r="B65" s="209" t="s">
        <v>252</v>
      </c>
      <c r="C65" s="226">
        <f>'Custo por trabalhador'!B265</f>
        <v>4.1999999999999997E-3</v>
      </c>
      <c r="D65" s="211">
        <f>'Custo por trabalhador'!F293</f>
        <v>12.746094314286664</v>
      </c>
    </row>
    <row r="66" spans="1:4" x14ac:dyDescent="0.25">
      <c r="A66" s="222" t="s">
        <v>163</v>
      </c>
      <c r="B66" s="223" t="s">
        <v>195</v>
      </c>
      <c r="C66" s="224"/>
      <c r="D66" s="225">
        <f>'Custo por trabalhador'!B322</f>
        <v>3352.9454263888888</v>
      </c>
    </row>
    <row r="67" spans="1:4" x14ac:dyDescent="0.25">
      <c r="A67" s="194" t="s">
        <v>164</v>
      </c>
      <c r="B67" s="195" t="s">
        <v>196</v>
      </c>
      <c r="C67" s="205">
        <f>C40</f>
        <v>0.39800000000000008</v>
      </c>
      <c r="D67" s="196">
        <f>'Custo por trabalhador'!C322</f>
        <v>1086.1908053027778</v>
      </c>
    </row>
    <row r="68" spans="1:4" ht="16.5" thickBot="1" x14ac:dyDescent="0.3">
      <c r="A68" s="206" t="s">
        <v>165</v>
      </c>
      <c r="B68" s="202" t="s">
        <v>197</v>
      </c>
      <c r="C68" s="207">
        <v>0.4</v>
      </c>
      <c r="D68" s="203">
        <f>'Custo por trabalhador'!D322</f>
        <v>87.331924044444449</v>
      </c>
    </row>
    <row r="69" spans="1:4" ht="16.5" thickBot="1" x14ac:dyDescent="0.3">
      <c r="A69" s="153"/>
      <c r="B69" s="209" t="s">
        <v>253</v>
      </c>
      <c r="C69" s="210">
        <f>'Custo por trabalhador'!E322</f>
        <v>1.9400000000000001E-2</v>
      </c>
      <c r="D69" s="211">
        <f>'Custo por trabalhador'!F322</f>
        <v>87.813482221280552</v>
      </c>
    </row>
    <row r="70" spans="1:4" ht="16.5" thickBot="1" x14ac:dyDescent="0.3">
      <c r="A70" s="410" t="s">
        <v>12</v>
      </c>
      <c r="B70" s="411"/>
      <c r="C70" s="138"/>
      <c r="D70" s="138">
        <f>D65+D69</f>
        <v>100.55957653556722</v>
      </c>
    </row>
    <row r="72" spans="1:4" x14ac:dyDescent="0.25">
      <c r="A72" s="383" t="s">
        <v>198</v>
      </c>
      <c r="B72" s="383"/>
      <c r="C72" s="383"/>
    </row>
    <row r="74" spans="1:4" x14ac:dyDescent="0.25">
      <c r="A74" s="403" t="s">
        <v>199</v>
      </c>
      <c r="B74" s="403"/>
      <c r="C74" s="403"/>
    </row>
    <row r="75" spans="1:4" ht="16.5" thickBot="1" x14ac:dyDescent="0.3">
      <c r="A75" s="28"/>
    </row>
    <row r="76" spans="1:4" ht="16.5" thickBot="1" x14ac:dyDescent="0.3">
      <c r="A76" s="112" t="s">
        <v>200</v>
      </c>
      <c r="B76" s="113" t="s">
        <v>201</v>
      </c>
      <c r="C76" s="113" t="s">
        <v>159</v>
      </c>
    </row>
    <row r="77" spans="1:4" ht="16.5" thickBot="1" x14ac:dyDescent="0.3">
      <c r="A77" s="114" t="s">
        <v>160</v>
      </c>
      <c r="B77" s="115" t="s">
        <v>201</v>
      </c>
      <c r="C77" s="135">
        <f>'Custo por trabalhador'!B432</f>
        <v>254.01426535620806</v>
      </c>
    </row>
    <row r="78" spans="1:4" ht="16.5" thickBot="1" x14ac:dyDescent="0.3">
      <c r="A78" s="404" t="s">
        <v>184</v>
      </c>
      <c r="B78" s="405"/>
      <c r="C78" s="138">
        <f>SUM(C77:C77)</f>
        <v>254.01426535620806</v>
      </c>
    </row>
    <row r="80" spans="1:4" x14ac:dyDescent="0.25">
      <c r="A80" s="403" t="s">
        <v>202</v>
      </c>
      <c r="B80" s="403"/>
      <c r="C80" s="403"/>
    </row>
    <row r="81" spans="1:3" ht="16.5" thickBot="1" x14ac:dyDescent="0.3">
      <c r="A81" s="28"/>
    </row>
    <row r="82" spans="1:3" ht="16.5" thickBot="1" x14ac:dyDescent="0.3">
      <c r="A82" s="112" t="s">
        <v>203</v>
      </c>
      <c r="B82" s="113" t="s">
        <v>204</v>
      </c>
      <c r="C82" s="113" t="s">
        <v>159</v>
      </c>
    </row>
    <row r="83" spans="1:3" ht="16.5" thickBot="1" x14ac:dyDescent="0.3">
      <c r="A83" s="114" t="s">
        <v>160</v>
      </c>
      <c r="B83" s="115" t="s">
        <v>227</v>
      </c>
      <c r="C83" s="135">
        <f>'Custo por trabalhador'!C432</f>
        <v>309.52471419731143</v>
      </c>
    </row>
    <row r="84" spans="1:3" ht="16.5" thickBot="1" x14ac:dyDescent="0.3">
      <c r="A84" s="404" t="s">
        <v>12</v>
      </c>
      <c r="B84" s="405"/>
      <c r="C84" s="137">
        <f>SUM(C83)</f>
        <v>309.52471419731143</v>
      </c>
    </row>
    <row r="86" spans="1:3" x14ac:dyDescent="0.25">
      <c r="A86" s="403" t="s">
        <v>205</v>
      </c>
      <c r="B86" s="403"/>
      <c r="C86" s="403"/>
    </row>
    <row r="87" spans="1:3" ht="16.5" thickBot="1" x14ac:dyDescent="0.3">
      <c r="A87" s="28"/>
    </row>
    <row r="88" spans="1:3" ht="16.5" thickBot="1" x14ac:dyDescent="0.3">
      <c r="A88" s="112">
        <v>4</v>
      </c>
      <c r="B88" s="113" t="s">
        <v>206</v>
      </c>
      <c r="C88" s="113" t="s">
        <v>159</v>
      </c>
    </row>
    <row r="89" spans="1:3" ht="16.5" thickBot="1" x14ac:dyDescent="0.3">
      <c r="A89" s="114" t="s">
        <v>200</v>
      </c>
      <c r="B89" s="115" t="s">
        <v>201</v>
      </c>
      <c r="C89" s="136">
        <f>'Custo por trabalhador'!B432</f>
        <v>254.01426535620806</v>
      </c>
    </row>
    <row r="90" spans="1:3" ht="16.5" thickBot="1" x14ac:dyDescent="0.3">
      <c r="A90" s="114" t="s">
        <v>203</v>
      </c>
      <c r="B90" s="115" t="s">
        <v>204</v>
      </c>
      <c r="C90" s="136">
        <f>'Custo por trabalhador'!C432</f>
        <v>309.52471419731143</v>
      </c>
    </row>
    <row r="91" spans="1:3" ht="16.5" thickBot="1" x14ac:dyDescent="0.3">
      <c r="A91" s="404" t="s">
        <v>12</v>
      </c>
      <c r="B91" s="405"/>
      <c r="C91" s="137">
        <f>SUM(C89:C90)</f>
        <v>563.53897955351954</v>
      </c>
    </row>
    <row r="93" spans="1:3" x14ac:dyDescent="0.25">
      <c r="A93" s="383" t="s">
        <v>207</v>
      </c>
      <c r="B93" s="383"/>
      <c r="C93" s="383"/>
    </row>
    <row r="94" spans="1:3" ht="16.5" thickBot="1" x14ac:dyDescent="0.3"/>
    <row r="95" spans="1:3" ht="16.5" thickBot="1" x14ac:dyDescent="0.3">
      <c r="A95" s="112">
        <v>5</v>
      </c>
      <c r="B95" s="119" t="s">
        <v>120</v>
      </c>
      <c r="C95" s="113" t="s">
        <v>159</v>
      </c>
    </row>
    <row r="96" spans="1:3" ht="16.5" thickBot="1" x14ac:dyDescent="0.3">
      <c r="A96" s="114" t="s">
        <v>160</v>
      </c>
      <c r="B96" s="115" t="s">
        <v>208</v>
      </c>
      <c r="C96" s="135">
        <f>'Custo por trabalhador'!B514</f>
        <v>256.16666666666669</v>
      </c>
    </row>
    <row r="97" spans="1:4" ht="16.5" thickBot="1" x14ac:dyDescent="0.3">
      <c r="A97" s="114" t="s">
        <v>161</v>
      </c>
      <c r="B97" s="115" t="s">
        <v>209</v>
      </c>
      <c r="C97" s="135">
        <f>'Custo por trabalhador'!C514</f>
        <v>48.236249999999991</v>
      </c>
    </row>
    <row r="98" spans="1:4" ht="16.5" thickBot="1" x14ac:dyDescent="0.3">
      <c r="A98" s="114" t="s">
        <v>162</v>
      </c>
      <c r="B98" s="115" t="s">
        <v>210</v>
      </c>
      <c r="C98" s="135">
        <f>'Custo por trabalhador'!D514</f>
        <v>74.857874999999993</v>
      </c>
    </row>
    <row r="99" spans="1:4" ht="16.5" thickBot="1" x14ac:dyDescent="0.3">
      <c r="A99" s="114" t="s">
        <v>163</v>
      </c>
      <c r="B99" s="115" t="s">
        <v>256</v>
      </c>
      <c r="C99" s="135"/>
    </row>
    <row r="100" spans="1:4" ht="16.5" thickBot="1" x14ac:dyDescent="0.3">
      <c r="A100" s="404" t="s">
        <v>184</v>
      </c>
      <c r="B100" s="405"/>
      <c r="C100" s="137">
        <f>SUM(C96:C99)</f>
        <v>379.26079166666665</v>
      </c>
    </row>
    <row r="102" spans="1:4" x14ac:dyDescent="0.25">
      <c r="A102" s="383" t="s">
        <v>211</v>
      </c>
      <c r="B102" s="383"/>
      <c r="C102" s="383"/>
    </row>
    <row r="103" spans="1:4" ht="16.5" thickBot="1" x14ac:dyDescent="0.3"/>
    <row r="104" spans="1:4" ht="16.5" thickBot="1" x14ac:dyDescent="0.3">
      <c r="A104" s="112">
        <v>6</v>
      </c>
      <c r="B104" s="119" t="s">
        <v>121</v>
      </c>
      <c r="C104" s="113" t="s">
        <v>177</v>
      </c>
      <c r="D104" s="113" t="s">
        <v>159</v>
      </c>
    </row>
    <row r="105" spans="1:4" ht="16.5" thickBot="1" x14ac:dyDescent="0.3">
      <c r="A105" s="114" t="s">
        <v>160</v>
      </c>
      <c r="B105" s="115" t="s">
        <v>138</v>
      </c>
      <c r="C105" s="117">
        <f>'Custo por trabalhador'!B524</f>
        <v>0.03</v>
      </c>
      <c r="D105" s="116"/>
    </row>
    <row r="106" spans="1:4" ht="16.5" thickBot="1" x14ac:dyDescent="0.3">
      <c r="A106" s="114" t="s">
        <v>161</v>
      </c>
      <c r="B106" s="115" t="s">
        <v>140</v>
      </c>
      <c r="C106" s="117">
        <f>'Custo por trabalhador'!B526</f>
        <v>3.2599999999999997E-2</v>
      </c>
      <c r="D106" s="116"/>
    </row>
    <row r="107" spans="1:4" ht="16.5" thickBot="1" x14ac:dyDescent="0.3">
      <c r="A107" s="114" t="s">
        <v>162</v>
      </c>
      <c r="B107" s="115" t="s">
        <v>139</v>
      </c>
      <c r="C107" s="117">
        <f>'Custo por trabalhador'!B525</f>
        <v>8.6499999999999994E-2</v>
      </c>
      <c r="D107" s="116"/>
    </row>
    <row r="108" spans="1:4" ht="16.5" thickBot="1" x14ac:dyDescent="0.3">
      <c r="A108" s="114"/>
      <c r="B108" s="115" t="s">
        <v>212</v>
      </c>
      <c r="C108" s="117"/>
      <c r="D108" s="116"/>
    </row>
    <row r="109" spans="1:4" ht="16.5" thickBot="1" x14ac:dyDescent="0.3">
      <c r="A109" s="114"/>
      <c r="B109" s="115" t="s">
        <v>213</v>
      </c>
      <c r="C109" s="117"/>
      <c r="D109" s="116"/>
    </row>
    <row r="110" spans="1:4" ht="16.5" thickBot="1" x14ac:dyDescent="0.3">
      <c r="A110" s="114"/>
      <c r="B110" s="115" t="s">
        <v>214</v>
      </c>
      <c r="C110" s="117"/>
      <c r="D110" s="116"/>
    </row>
    <row r="111" spans="1:4" ht="16.5" thickBot="1" x14ac:dyDescent="0.3">
      <c r="A111" s="404" t="s">
        <v>184</v>
      </c>
      <c r="B111" s="405"/>
      <c r="C111" s="144">
        <f>'Custo por trabalhador'!C530</f>
        <v>0.16925871268021342</v>
      </c>
      <c r="D111" s="138">
        <f>'Custo por trabalhador'!D530</f>
        <v>876.4372982411287</v>
      </c>
    </row>
    <row r="112" spans="1:4" ht="16.5" thickBot="1" x14ac:dyDescent="0.3">
      <c r="A112" s="212"/>
      <c r="B112" s="212"/>
      <c r="C112" s="213"/>
      <c r="D112" s="214"/>
    </row>
    <row r="113" spans="1:5" ht="16.5" thickBot="1" x14ac:dyDescent="0.3">
      <c r="A113" s="345" t="s">
        <v>254</v>
      </c>
      <c r="B113" s="346"/>
      <c r="C113" s="347"/>
    </row>
    <row r="114" spans="1:5" ht="16.5" thickBot="1" x14ac:dyDescent="0.3">
      <c r="A114" s="215" t="s">
        <v>160</v>
      </c>
      <c r="B114" s="216" t="s">
        <v>255</v>
      </c>
      <c r="C114" s="217">
        <f>'Custo por trabalhador'!D542</f>
        <v>479.73540123090811</v>
      </c>
    </row>
    <row r="115" spans="1:5" x14ac:dyDescent="0.25">
      <c r="A115" s="90"/>
      <c r="B115" s="90"/>
      <c r="C115" s="90"/>
    </row>
    <row r="116" spans="1:5" x14ac:dyDescent="0.25">
      <c r="A116" s="383" t="s">
        <v>215</v>
      </c>
      <c r="B116" s="383"/>
      <c r="C116" s="383"/>
    </row>
    <row r="117" spans="1:5" ht="16.5" thickBot="1" x14ac:dyDescent="0.3"/>
    <row r="118" spans="1:5" ht="16.5" thickBot="1" x14ac:dyDescent="0.3">
      <c r="A118" s="112"/>
      <c r="B118" s="113" t="s">
        <v>216</v>
      </c>
      <c r="C118" s="113" t="s">
        <v>159</v>
      </c>
    </row>
    <row r="119" spans="1:5" ht="16.5" thickBot="1" x14ac:dyDescent="0.3">
      <c r="A119" s="121" t="s">
        <v>160</v>
      </c>
      <c r="B119" s="115" t="s">
        <v>157</v>
      </c>
      <c r="C119" s="139">
        <f>'Custo por trabalhador'!B550</f>
        <v>2284.8468499999999</v>
      </c>
    </row>
    <row r="120" spans="1:5" ht="16.5" thickBot="1" x14ac:dyDescent="0.3">
      <c r="A120" s="121" t="s">
        <v>161</v>
      </c>
      <c r="B120" s="115" t="s">
        <v>168</v>
      </c>
      <c r="C120" s="139">
        <f>'Custo por trabalhador'!B551</f>
        <v>2154.2893816916667</v>
      </c>
    </row>
    <row r="121" spans="1:5" ht="16.5" thickBot="1" x14ac:dyDescent="0.3">
      <c r="A121" s="121" t="s">
        <v>162</v>
      </c>
      <c r="B121" s="115" t="s">
        <v>190</v>
      </c>
      <c r="C121" s="139">
        <f>'Custo por trabalhador'!B552</f>
        <v>100.55957653556722</v>
      </c>
    </row>
    <row r="122" spans="1:5" ht="16.5" thickBot="1" x14ac:dyDescent="0.3">
      <c r="A122" s="121" t="s">
        <v>163</v>
      </c>
      <c r="B122" s="115" t="s">
        <v>198</v>
      </c>
      <c r="C122" s="139">
        <f>'Custo por trabalhador'!B553</f>
        <v>563.53897955351954</v>
      </c>
    </row>
    <row r="123" spans="1:5" ht="16.5" thickBot="1" x14ac:dyDescent="0.3">
      <c r="A123" s="121" t="s">
        <v>164</v>
      </c>
      <c r="B123" s="115" t="s">
        <v>207</v>
      </c>
      <c r="C123" s="139">
        <f>'Custo por trabalhador'!B554</f>
        <v>379.26079166666665</v>
      </c>
    </row>
    <row r="124" spans="1:5" ht="16.5" thickBot="1" x14ac:dyDescent="0.3">
      <c r="A124" s="404" t="s">
        <v>217</v>
      </c>
      <c r="B124" s="405"/>
      <c r="C124" s="140">
        <f>ROUND(SUM(C119:C123),(2))</f>
        <v>5482.5</v>
      </c>
    </row>
    <row r="125" spans="1:5" ht="16.5" thickBot="1" x14ac:dyDescent="0.3">
      <c r="A125" s="133" t="s">
        <v>165</v>
      </c>
      <c r="B125" s="134" t="s">
        <v>218</v>
      </c>
      <c r="C125" s="141">
        <f>'Custo por trabalhador'!B555</f>
        <v>876.4372982411287</v>
      </c>
    </row>
    <row r="126" spans="1:5" ht="16.5" thickBot="1" x14ac:dyDescent="0.3">
      <c r="A126" s="133" t="s">
        <v>166</v>
      </c>
      <c r="B126" s="134" t="s">
        <v>255</v>
      </c>
      <c r="C126" s="141">
        <f>'Custo por trabalhador'!B556</f>
        <v>479.73540123090811</v>
      </c>
    </row>
    <row r="127" spans="1:5" ht="16.5" thickBot="1" x14ac:dyDescent="0.3">
      <c r="A127" s="397" t="s">
        <v>219</v>
      </c>
      <c r="B127" s="398"/>
      <c r="C127" s="145">
        <f>ROUND(SUM(C119:C123,C125:C126),(2))</f>
        <v>6838.67</v>
      </c>
      <c r="E127" s="142"/>
    </row>
    <row r="128" spans="1:5" ht="16.5" thickBot="1" x14ac:dyDescent="0.3">
      <c r="A128" s="397" t="s">
        <v>239</v>
      </c>
      <c r="B128" s="398"/>
      <c r="C128" s="145">
        <f>ROUND(SUM(C127),(2))*2</f>
        <v>13677.34</v>
      </c>
    </row>
    <row r="131" spans="2:2" x14ac:dyDescent="0.25">
      <c r="B131" s="132"/>
    </row>
  </sheetData>
  <mergeCells count="34">
    <mergeCell ref="A111:B111"/>
    <mergeCell ref="A102:C102"/>
    <mergeCell ref="A49:B49"/>
    <mergeCell ref="A42:C42"/>
    <mergeCell ref="A57:B57"/>
    <mergeCell ref="A51:C51"/>
    <mergeCell ref="A70:B70"/>
    <mergeCell ref="A59:C59"/>
    <mergeCell ref="A86:C86"/>
    <mergeCell ref="A1:D1"/>
    <mergeCell ref="A2:D2"/>
    <mergeCell ref="A100:B100"/>
    <mergeCell ref="A93:C93"/>
    <mergeCell ref="A18:B18"/>
    <mergeCell ref="A8:C8"/>
    <mergeCell ref="A27:B27"/>
    <mergeCell ref="A20:C20"/>
    <mergeCell ref="A6:C6"/>
    <mergeCell ref="A128:B128"/>
    <mergeCell ref="A5:C5"/>
    <mergeCell ref="A3:D3"/>
    <mergeCell ref="A22:C22"/>
    <mergeCell ref="A40:B40"/>
    <mergeCell ref="A29:D29"/>
    <mergeCell ref="A124:B124"/>
    <mergeCell ref="A127:B127"/>
    <mergeCell ref="A116:C116"/>
    <mergeCell ref="A72:C72"/>
    <mergeCell ref="A78:B78"/>
    <mergeCell ref="A74:C74"/>
    <mergeCell ref="A84:B84"/>
    <mergeCell ref="A80:C80"/>
    <mergeCell ref="A91:B91"/>
    <mergeCell ref="A113:C11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132"/>
  <sheetViews>
    <sheetView topLeftCell="A109" zoomScale="115" zoomScaleNormal="115" workbookViewId="0">
      <selection activeCell="A22" sqref="A22:C22"/>
    </sheetView>
  </sheetViews>
  <sheetFormatPr defaultRowHeight="15" x14ac:dyDescent="0.25"/>
  <cols>
    <col min="2" max="2" width="76.5703125" customWidth="1"/>
    <col min="3" max="3" width="18" customWidth="1"/>
    <col min="4" max="4" width="14.28515625" customWidth="1"/>
  </cols>
  <sheetData>
    <row r="1" spans="1:4" ht="23.25" x14ac:dyDescent="0.35">
      <c r="A1" s="374" t="s">
        <v>220</v>
      </c>
      <c r="B1" s="374"/>
      <c r="C1" s="374"/>
      <c r="D1" s="374"/>
    </row>
    <row r="2" spans="1:4" ht="23.25" x14ac:dyDescent="0.35">
      <c r="A2" s="374" t="s">
        <v>343</v>
      </c>
      <c r="B2" s="374"/>
      <c r="C2" s="374"/>
      <c r="D2" s="374"/>
    </row>
    <row r="3" spans="1:4" ht="15.75" x14ac:dyDescent="0.25">
      <c r="A3" s="402" t="s">
        <v>226</v>
      </c>
      <c r="B3" s="402"/>
      <c r="C3" s="402"/>
      <c r="D3" s="402"/>
    </row>
    <row r="4" spans="1:4" ht="16.5" thickBot="1" x14ac:dyDescent="0.3">
      <c r="A4" s="143"/>
      <c r="B4" s="143"/>
      <c r="C4" s="143"/>
      <c r="D4" s="143"/>
    </row>
    <row r="5" spans="1:4" ht="16.5" thickBot="1" x14ac:dyDescent="0.3">
      <c r="A5" s="413" t="s">
        <v>240</v>
      </c>
      <c r="B5" s="414"/>
      <c r="C5" s="415"/>
      <c r="D5" s="143"/>
    </row>
    <row r="6" spans="1:4" ht="15.6" customHeight="1" thickBot="1" x14ac:dyDescent="0.3">
      <c r="A6" s="416" t="s">
        <v>231</v>
      </c>
      <c r="B6" s="417"/>
      <c r="C6" s="418"/>
      <c r="D6" s="143"/>
    </row>
    <row r="7" spans="1:4" ht="15.75" x14ac:dyDescent="0.25">
      <c r="A7" s="120"/>
      <c r="B7" s="120"/>
      <c r="C7" s="120"/>
      <c r="D7" s="120"/>
    </row>
    <row r="8" spans="1:4" ht="15.75" x14ac:dyDescent="0.25">
      <c r="A8" s="383" t="s">
        <v>157</v>
      </c>
      <c r="B8" s="383"/>
      <c r="C8" s="383"/>
      <c r="D8" s="120"/>
    </row>
    <row r="9" spans="1:4" ht="16.5" thickBot="1" x14ac:dyDescent="0.3">
      <c r="A9" s="120"/>
      <c r="B9" s="120"/>
      <c r="C9" s="120"/>
      <c r="D9" s="120"/>
    </row>
    <row r="10" spans="1:4" ht="16.5" thickBot="1" x14ac:dyDescent="0.3">
      <c r="A10" s="112">
        <v>1</v>
      </c>
      <c r="B10" s="113" t="s">
        <v>158</v>
      </c>
      <c r="C10" s="113" t="s">
        <v>159</v>
      </c>
      <c r="D10" s="120"/>
    </row>
    <row r="11" spans="1:4" ht="16.5" thickBot="1" x14ac:dyDescent="0.3">
      <c r="A11" s="114" t="s">
        <v>160</v>
      </c>
      <c r="B11" s="115" t="str">
        <f>'Custo por trabalhador'!B68</f>
        <v>Salário Base - Cláusula 3ª, CCT 2024/2026</v>
      </c>
      <c r="C11" s="135">
        <f>'Custo por trabalhador'!B70</f>
        <v>1733.93</v>
      </c>
      <c r="D11" s="120"/>
    </row>
    <row r="12" spans="1:4" ht="17.45" customHeight="1" thickBot="1" x14ac:dyDescent="0.3">
      <c r="A12" s="114" t="s">
        <v>161</v>
      </c>
      <c r="B12" s="115" t="str">
        <f>'Custo por trabalhador'!C68</f>
        <v xml:space="preserve">Gratificação de Função e Adicional -  Cláusula 12ª CCT 2024/2026, § 1º, Alínea a </v>
      </c>
      <c r="C12" s="135">
        <f>'Custo por trabalhador'!C70</f>
        <v>0</v>
      </c>
      <c r="D12" s="120"/>
    </row>
    <row r="13" spans="1:4" ht="17.45" customHeight="1" thickBot="1" x14ac:dyDescent="0.3">
      <c r="A13" s="114" t="s">
        <v>162</v>
      </c>
      <c r="B13" s="115" t="str">
        <f>'Custo por trabalhador'!D68</f>
        <v xml:space="preserve">Gratificação de Função e Adicional -  Cláusula 12ª CCT 2024/2026, § 2º, Alínea a </v>
      </c>
      <c r="C13" s="135">
        <f>'Custo por trabalhador'!D70</f>
        <v>0</v>
      </c>
      <c r="D13" s="120"/>
    </row>
    <row r="14" spans="1:4" ht="16.5" thickBot="1" x14ac:dyDescent="0.3">
      <c r="A14" s="114" t="s">
        <v>163</v>
      </c>
      <c r="B14" s="115" t="str">
        <f>'Custo por trabalhador'!E68</f>
        <v>Adicional de   Periculosidade   - Cláusula 14º CCT 2024/2026</v>
      </c>
      <c r="C14" s="135">
        <f>'Custo por trabalhador'!E70</f>
        <v>520.17899999999997</v>
      </c>
      <c r="D14" s="120"/>
    </row>
    <row r="15" spans="1:4" ht="16.5" thickBot="1" x14ac:dyDescent="0.3">
      <c r="A15" s="114" t="s">
        <v>164</v>
      </c>
      <c r="B15" s="115" t="str">
        <f>'Custo por trabalhador'!F68</f>
        <v>Adicional Noturno - Cláusula 13ª CCT 2024/2026</v>
      </c>
      <c r="C15" s="135">
        <f>'Custo por trabalhador'!F70</f>
        <v>375.68483333333336</v>
      </c>
      <c r="D15" s="120"/>
    </row>
    <row r="16" spans="1:4" ht="16.5" thickBot="1" x14ac:dyDescent="0.3">
      <c r="A16" s="114" t="s">
        <v>165</v>
      </c>
      <c r="B16" s="115" t="str">
        <f>'Custo por trabalhador'!G68</f>
        <v>Adicional - Clausula 31º, § 4º - CCT 2024/2026</v>
      </c>
      <c r="C16" s="135">
        <f>'Custo por trabalhador'!G70</f>
        <v>35.860824999999998</v>
      </c>
      <c r="D16" s="120"/>
    </row>
    <row r="17" spans="1:4" ht="16.5" thickBot="1" x14ac:dyDescent="0.3">
      <c r="A17" s="114"/>
      <c r="B17" s="115"/>
      <c r="C17" s="135"/>
      <c r="D17" s="120"/>
    </row>
    <row r="18" spans="1:4" ht="16.5" thickBot="1" x14ac:dyDescent="0.3">
      <c r="A18" s="404" t="s">
        <v>12</v>
      </c>
      <c r="B18" s="405"/>
      <c r="C18" s="138">
        <f>SUM(C11:C17)</f>
        <v>2665.6546583333334</v>
      </c>
      <c r="D18" s="120"/>
    </row>
    <row r="19" spans="1:4" ht="15.75" x14ac:dyDescent="0.25">
      <c r="A19" s="120"/>
      <c r="B19" s="120"/>
      <c r="C19" s="120"/>
      <c r="D19" s="120"/>
    </row>
    <row r="20" spans="1:4" ht="15.75" x14ac:dyDescent="0.25">
      <c r="A20" s="383" t="s">
        <v>168</v>
      </c>
      <c r="B20" s="383"/>
      <c r="C20" s="383"/>
      <c r="D20" s="120"/>
    </row>
    <row r="21" spans="1:4" ht="15.75" x14ac:dyDescent="0.25">
      <c r="A21" s="28"/>
      <c r="B21" s="120"/>
      <c r="C21" s="120"/>
      <c r="D21" s="120"/>
    </row>
    <row r="22" spans="1:4" ht="15.75" x14ac:dyDescent="0.25">
      <c r="A22" s="403" t="s">
        <v>169</v>
      </c>
      <c r="B22" s="403"/>
      <c r="C22" s="403"/>
      <c r="D22" s="120"/>
    </row>
    <row r="23" spans="1:4" ht="16.5" thickBot="1" x14ac:dyDescent="0.3">
      <c r="A23" s="120"/>
      <c r="B23" s="120"/>
      <c r="C23" s="120"/>
      <c r="D23" s="120"/>
    </row>
    <row r="24" spans="1:4" ht="16.5" thickBot="1" x14ac:dyDescent="0.3">
      <c r="A24" s="112" t="s">
        <v>170</v>
      </c>
      <c r="B24" s="113" t="s">
        <v>171</v>
      </c>
      <c r="C24" s="113" t="s">
        <v>159</v>
      </c>
      <c r="D24" s="120"/>
    </row>
    <row r="25" spans="1:4" ht="16.5" thickBot="1" x14ac:dyDescent="0.3">
      <c r="A25" s="114" t="s">
        <v>160</v>
      </c>
      <c r="B25" s="115" t="s">
        <v>172</v>
      </c>
      <c r="C25" s="135">
        <f>'Custo por trabalhador'!B110</f>
        <v>222.13788819444443</v>
      </c>
      <c r="D25" s="120"/>
    </row>
    <row r="26" spans="1:4" ht="16.5" thickBot="1" x14ac:dyDescent="0.3">
      <c r="A26" s="114" t="s">
        <v>161</v>
      </c>
      <c r="B26" s="115" t="s">
        <v>173</v>
      </c>
      <c r="C26" s="135">
        <f>'Custo por trabalhador'!C110+'Custo por trabalhador'!D110</f>
        <v>296.18385092592587</v>
      </c>
      <c r="D26" s="120"/>
    </row>
    <row r="27" spans="1:4" ht="16.5" thickBot="1" x14ac:dyDescent="0.3">
      <c r="A27" s="404" t="s">
        <v>12</v>
      </c>
      <c r="B27" s="405"/>
      <c r="C27" s="138">
        <f>SUM(C25:C26)</f>
        <v>518.32173912037024</v>
      </c>
      <c r="D27" s="120"/>
    </row>
    <row r="28" spans="1:4" ht="15.75" x14ac:dyDescent="0.25">
      <c r="A28" s="120"/>
      <c r="B28" s="120"/>
      <c r="C28" s="120"/>
      <c r="D28" s="120"/>
    </row>
    <row r="29" spans="1:4" ht="15.75" x14ac:dyDescent="0.25">
      <c r="A29" s="406" t="s">
        <v>174</v>
      </c>
      <c r="B29" s="406"/>
      <c r="C29" s="406"/>
      <c r="D29" s="406"/>
    </row>
    <row r="30" spans="1:4" ht="16.5" thickBot="1" x14ac:dyDescent="0.3">
      <c r="A30" s="120"/>
      <c r="B30" s="120"/>
      <c r="C30" s="120"/>
      <c r="D30" s="120"/>
    </row>
    <row r="31" spans="1:4" ht="16.5" thickBot="1" x14ac:dyDescent="0.3">
      <c r="A31" s="112" t="s">
        <v>175</v>
      </c>
      <c r="B31" s="113" t="s">
        <v>176</v>
      </c>
      <c r="C31" s="113" t="s">
        <v>177</v>
      </c>
      <c r="D31" s="113" t="s">
        <v>159</v>
      </c>
    </row>
    <row r="32" spans="1:4" ht="16.5" thickBot="1" x14ac:dyDescent="0.3">
      <c r="A32" s="114" t="s">
        <v>160</v>
      </c>
      <c r="B32" s="115" t="s">
        <v>178</v>
      </c>
      <c r="C32" s="117">
        <f>'Custo por trabalhador'!B121</f>
        <v>0.2</v>
      </c>
      <c r="D32" s="135">
        <f t="shared" ref="D32:D39" si="0">($C$18+$C$27)*C32</f>
        <v>636.79527949074077</v>
      </c>
    </row>
    <row r="33" spans="1:4" ht="16.5" thickBot="1" x14ac:dyDescent="0.3">
      <c r="A33" s="114" t="s">
        <v>161</v>
      </c>
      <c r="B33" s="115" t="s">
        <v>179</v>
      </c>
      <c r="C33" s="117">
        <f>'Custo por trabalhador'!B122</f>
        <v>2.5000000000000001E-2</v>
      </c>
      <c r="D33" s="135">
        <f t="shared" si="0"/>
        <v>79.599409936342596</v>
      </c>
    </row>
    <row r="34" spans="1:4" ht="16.5" thickBot="1" x14ac:dyDescent="0.3">
      <c r="A34" s="114" t="s">
        <v>162</v>
      </c>
      <c r="B34" s="115" t="s">
        <v>180</v>
      </c>
      <c r="C34" s="118">
        <f>'Custo por trabalhador'!B123</f>
        <v>0.06</v>
      </c>
      <c r="D34" s="135">
        <f t="shared" si="0"/>
        <v>191.03858384722221</v>
      </c>
    </row>
    <row r="35" spans="1:4" ht="16.5" thickBot="1" x14ac:dyDescent="0.3">
      <c r="A35" s="114" t="s">
        <v>163</v>
      </c>
      <c r="B35" s="115" t="s">
        <v>181</v>
      </c>
      <c r="C35" s="117">
        <f>'Custo por trabalhador'!B124</f>
        <v>1.4999999999999999E-2</v>
      </c>
      <c r="D35" s="135">
        <f t="shared" si="0"/>
        <v>47.759645961805553</v>
      </c>
    </row>
    <row r="36" spans="1:4" ht="16.5" thickBot="1" x14ac:dyDescent="0.3">
      <c r="A36" s="114" t="s">
        <v>164</v>
      </c>
      <c r="B36" s="115" t="s">
        <v>182</v>
      </c>
      <c r="C36" s="117">
        <f>'Custo por trabalhador'!B125</f>
        <v>0.01</v>
      </c>
      <c r="D36" s="135">
        <f t="shared" si="0"/>
        <v>31.839763974537036</v>
      </c>
    </row>
    <row r="37" spans="1:4" ht="16.5" thickBot="1" x14ac:dyDescent="0.3">
      <c r="A37" s="114" t="s">
        <v>165</v>
      </c>
      <c r="B37" s="115" t="s">
        <v>25</v>
      </c>
      <c r="C37" s="117">
        <f>'Custo por trabalhador'!B126</f>
        <v>6.0000000000000001E-3</v>
      </c>
      <c r="D37" s="135">
        <f t="shared" si="0"/>
        <v>19.103858384722223</v>
      </c>
    </row>
    <row r="38" spans="1:4" ht="16.5" thickBot="1" x14ac:dyDescent="0.3">
      <c r="A38" s="114" t="s">
        <v>166</v>
      </c>
      <c r="B38" s="115" t="s">
        <v>26</v>
      </c>
      <c r="C38" s="117">
        <f>'Custo por trabalhador'!B127</f>
        <v>2E-3</v>
      </c>
      <c r="D38" s="135">
        <f t="shared" si="0"/>
        <v>6.3679527949074073</v>
      </c>
    </row>
    <row r="39" spans="1:4" ht="16.5" thickBot="1" x14ac:dyDescent="0.3">
      <c r="A39" s="114" t="s">
        <v>183</v>
      </c>
      <c r="B39" s="115" t="s">
        <v>27</v>
      </c>
      <c r="C39" s="117">
        <f>'Custo por trabalhador'!B128</f>
        <v>0.08</v>
      </c>
      <c r="D39" s="135">
        <f t="shared" si="0"/>
        <v>254.71811179629628</v>
      </c>
    </row>
    <row r="40" spans="1:4" ht="16.5" thickBot="1" x14ac:dyDescent="0.3">
      <c r="A40" s="404" t="s">
        <v>184</v>
      </c>
      <c r="B40" s="405"/>
      <c r="C40" s="117">
        <f>'Custo por trabalhador'!B129</f>
        <v>0.39800000000000008</v>
      </c>
      <c r="D40" s="138">
        <f>SUM(D32:D39)</f>
        <v>1267.222606186574</v>
      </c>
    </row>
    <row r="41" spans="1:4" ht="15.75" x14ac:dyDescent="0.25">
      <c r="A41" s="120"/>
      <c r="B41" s="120"/>
      <c r="C41" s="120"/>
      <c r="D41" s="120"/>
    </row>
    <row r="42" spans="1:4" ht="15.75" x14ac:dyDescent="0.25">
      <c r="A42" s="403" t="s">
        <v>185</v>
      </c>
      <c r="B42" s="403"/>
      <c r="C42" s="403"/>
      <c r="D42" s="120"/>
    </row>
    <row r="43" spans="1:4" ht="16.5" thickBot="1" x14ac:dyDescent="0.3">
      <c r="A43" s="120"/>
      <c r="B43" s="120"/>
      <c r="C43" s="120"/>
      <c r="D43" s="120"/>
    </row>
    <row r="44" spans="1:4" ht="16.5" thickBot="1" x14ac:dyDescent="0.3">
      <c r="A44" s="112" t="s">
        <v>186</v>
      </c>
      <c r="B44" s="113" t="s">
        <v>187</v>
      </c>
      <c r="C44" s="113" t="s">
        <v>159</v>
      </c>
      <c r="D44" s="120"/>
    </row>
    <row r="45" spans="1:4" ht="16.5" thickBot="1" x14ac:dyDescent="0.3">
      <c r="A45" s="114" t="s">
        <v>160</v>
      </c>
      <c r="B45" s="115" t="str">
        <f>'Custo por trabalhador'!B241</f>
        <v>Vale Transporte - Cláusula 16ª CCT 2024/2026</v>
      </c>
      <c r="C45" s="135">
        <f>'Custo por trabalhador'!B244</f>
        <v>67.982100000000003</v>
      </c>
      <c r="D45" s="120"/>
    </row>
    <row r="46" spans="1:4" ht="16.5" thickBot="1" x14ac:dyDescent="0.3">
      <c r="A46" s="114" t="s">
        <v>161</v>
      </c>
      <c r="B46" s="115" t="str">
        <f>'Custo por trabalhador'!C241</f>
        <v>Vale Refeição - Cláusula 15ª CCT 2024/2026</v>
      </c>
      <c r="C46" s="135">
        <f>'Custo por trabalhador'!C244</f>
        <v>471.96069999999997</v>
      </c>
      <c r="D46" s="120"/>
    </row>
    <row r="47" spans="1:4" ht="16.5" thickBot="1" x14ac:dyDescent="0.3">
      <c r="A47" s="114" t="s">
        <v>162</v>
      </c>
      <c r="B47" s="115" t="str">
        <f>'Custo por trabalhador'!D241</f>
        <v xml:space="preserve"> Card Saúde- Abraps Bombank - Clausula 58º CCT 2024/2026</v>
      </c>
      <c r="C47" s="135">
        <f>'Custo por trabalhador'!D244</f>
        <v>83.88</v>
      </c>
      <c r="D47" s="120"/>
    </row>
    <row r="48" spans="1:4" ht="16.5" thickBot="1" x14ac:dyDescent="0.3">
      <c r="A48" s="114" t="s">
        <v>163</v>
      </c>
      <c r="B48" s="115" t="s">
        <v>167</v>
      </c>
      <c r="C48" s="135">
        <f>'Custo por trabalhador'!E244</f>
        <v>0</v>
      </c>
      <c r="D48" s="120"/>
    </row>
    <row r="49" spans="1:4" ht="16.5" thickBot="1" x14ac:dyDescent="0.3">
      <c r="A49" s="404" t="s">
        <v>12</v>
      </c>
      <c r="B49" s="405"/>
      <c r="C49" s="138">
        <f>SUM(C45:C48)</f>
        <v>623.82280000000003</v>
      </c>
      <c r="D49" s="120"/>
    </row>
    <row r="50" spans="1:4" ht="15.75" x14ac:dyDescent="0.25">
      <c r="A50" s="120"/>
      <c r="B50" s="120"/>
      <c r="C50" s="120"/>
      <c r="D50" s="120"/>
    </row>
    <row r="51" spans="1:4" ht="15.75" x14ac:dyDescent="0.25">
      <c r="A51" s="403" t="s">
        <v>188</v>
      </c>
      <c r="B51" s="403"/>
      <c r="C51" s="403"/>
      <c r="D51" s="120"/>
    </row>
    <row r="52" spans="1:4" ht="16.5" thickBot="1" x14ac:dyDescent="0.3">
      <c r="A52" s="120"/>
      <c r="B52" s="120"/>
      <c r="C52" s="120"/>
      <c r="D52" s="120"/>
    </row>
    <row r="53" spans="1:4" ht="16.5" thickBot="1" x14ac:dyDescent="0.3">
      <c r="A53" s="112">
        <v>2</v>
      </c>
      <c r="B53" s="113" t="s">
        <v>189</v>
      </c>
      <c r="C53" s="113" t="s">
        <v>159</v>
      </c>
      <c r="D53" s="120"/>
    </row>
    <row r="54" spans="1:4" ht="16.5" thickBot="1" x14ac:dyDescent="0.3">
      <c r="A54" s="114" t="s">
        <v>170</v>
      </c>
      <c r="B54" s="115" t="s">
        <v>171</v>
      </c>
      <c r="C54" s="135">
        <f>'Custo por trabalhador'!B254</f>
        <v>518.32173912037035</v>
      </c>
      <c r="D54" s="120"/>
    </row>
    <row r="55" spans="1:4" ht="16.5" thickBot="1" x14ac:dyDescent="0.3">
      <c r="A55" s="114" t="s">
        <v>175</v>
      </c>
      <c r="B55" s="115" t="s">
        <v>176</v>
      </c>
      <c r="C55" s="135">
        <f>'Custo por trabalhador'!C254</f>
        <v>1267.2226061865742</v>
      </c>
      <c r="D55" s="120"/>
    </row>
    <row r="56" spans="1:4" ht="16.5" thickBot="1" x14ac:dyDescent="0.3">
      <c r="A56" s="114" t="s">
        <v>186</v>
      </c>
      <c r="B56" s="115" t="s">
        <v>187</v>
      </c>
      <c r="C56" s="135">
        <f>'Custo por trabalhador'!D254</f>
        <v>623.82280000000003</v>
      </c>
      <c r="D56" s="120"/>
    </row>
    <row r="57" spans="1:4" ht="16.5" thickBot="1" x14ac:dyDescent="0.3">
      <c r="A57" s="404" t="s">
        <v>12</v>
      </c>
      <c r="B57" s="405"/>
      <c r="C57" s="138">
        <f>SUM(C54:C56)</f>
        <v>2409.3671453069446</v>
      </c>
      <c r="D57" s="120"/>
    </row>
    <row r="58" spans="1:4" ht="15.75" x14ac:dyDescent="0.25">
      <c r="A58" s="120"/>
      <c r="B58" s="120"/>
      <c r="C58" s="120"/>
      <c r="D58" s="120"/>
    </row>
    <row r="59" spans="1:4" ht="15.75" x14ac:dyDescent="0.25">
      <c r="A59" s="383" t="s">
        <v>190</v>
      </c>
      <c r="B59" s="383"/>
      <c r="C59" s="383"/>
      <c r="D59" s="120"/>
    </row>
    <row r="60" spans="1:4" ht="16.5" thickBot="1" x14ac:dyDescent="0.3">
      <c r="A60" s="120"/>
      <c r="B60" s="120"/>
      <c r="C60" s="120"/>
      <c r="D60" s="120"/>
    </row>
    <row r="61" spans="1:4" s="120" customFormat="1" ht="16.5" thickBot="1" x14ac:dyDescent="0.3">
      <c r="A61" s="133">
        <v>3</v>
      </c>
      <c r="B61" s="193" t="s">
        <v>191</v>
      </c>
      <c r="C61" s="193" t="s">
        <v>159</v>
      </c>
      <c r="D61" s="193" t="s">
        <v>159</v>
      </c>
    </row>
    <row r="62" spans="1:4" s="120" customFormat="1" ht="15.75" x14ac:dyDescent="0.25">
      <c r="A62" s="40" t="s">
        <v>160</v>
      </c>
      <c r="B62" s="198" t="s">
        <v>192</v>
      </c>
      <c r="C62" s="199"/>
      <c r="D62" s="200">
        <f>'Custo por trabalhador'!B294</f>
        <v>3183.9763974537036</v>
      </c>
    </row>
    <row r="63" spans="1:4" s="120" customFormat="1" ht="15.75" x14ac:dyDescent="0.25">
      <c r="A63" s="23" t="s">
        <v>161</v>
      </c>
      <c r="B63" s="195" t="s">
        <v>193</v>
      </c>
      <c r="C63" s="197">
        <v>0.08</v>
      </c>
      <c r="D63" s="201">
        <f>'Custo por trabalhador'!C294</f>
        <v>254.71811179629628</v>
      </c>
    </row>
    <row r="64" spans="1:4" s="120" customFormat="1" ht="16.5" thickBot="1" x14ac:dyDescent="0.3">
      <c r="A64" s="24" t="s">
        <v>162</v>
      </c>
      <c r="B64" s="202" t="s">
        <v>194</v>
      </c>
      <c r="C64" s="221">
        <v>0.4</v>
      </c>
      <c r="D64" s="204">
        <f>'Custo por trabalhador'!D294</f>
        <v>101.88724471851852</v>
      </c>
    </row>
    <row r="65" spans="1:26" s="120" customFormat="1" ht="16.5" thickBot="1" x14ac:dyDescent="0.3">
      <c r="A65" s="208"/>
      <c r="B65" s="209" t="s">
        <v>252</v>
      </c>
      <c r="C65" s="226">
        <f>'Custo por trabalhador'!B265</f>
        <v>4.1999999999999997E-3</v>
      </c>
      <c r="D65" s="211">
        <f>'Custo por trabalhador'!F294</f>
        <v>14.870443366667777</v>
      </c>
    </row>
    <row r="66" spans="1:26" s="120" customFormat="1" ht="15.75" x14ac:dyDescent="0.25">
      <c r="A66" s="222" t="s">
        <v>163</v>
      </c>
      <c r="B66" s="223" t="s">
        <v>195</v>
      </c>
      <c r="C66" s="224"/>
      <c r="D66" s="225">
        <f>'Custo por trabalhador'!B323</f>
        <v>3807.7991974537035</v>
      </c>
    </row>
    <row r="67" spans="1:26" s="120" customFormat="1" ht="15.75" x14ac:dyDescent="0.25">
      <c r="A67" s="194" t="s">
        <v>164</v>
      </c>
      <c r="B67" s="195" t="s">
        <v>196</v>
      </c>
      <c r="C67" s="205">
        <f>C40</f>
        <v>0.39800000000000008</v>
      </c>
      <c r="D67" s="196">
        <f>'Custo por trabalhador'!C323</f>
        <v>1267.2226061865742</v>
      </c>
    </row>
    <row r="68" spans="1:26" s="120" customFormat="1" ht="16.5" thickBot="1" x14ac:dyDescent="0.3">
      <c r="A68" s="206" t="s">
        <v>165</v>
      </c>
      <c r="B68" s="202" t="s">
        <v>197</v>
      </c>
      <c r="C68" s="207">
        <v>0.4</v>
      </c>
      <c r="D68" s="203">
        <f>'Custo por trabalhador'!D323</f>
        <v>101.88724471851852</v>
      </c>
    </row>
    <row r="69" spans="1:26" s="120" customFormat="1" ht="16.5" thickBot="1" x14ac:dyDescent="0.3">
      <c r="A69" s="153"/>
      <c r="B69" s="209" t="s">
        <v>253</v>
      </c>
      <c r="C69" s="210">
        <f>'Custo por trabalhador'!E322</f>
        <v>1.9400000000000001E-2</v>
      </c>
      <c r="D69" s="211">
        <f>'Custo por trabalhador'!F323</f>
        <v>100.43203553816065</v>
      </c>
    </row>
    <row r="70" spans="1:26" ht="15.75" customHeight="1" thickBot="1" x14ac:dyDescent="0.3">
      <c r="A70" s="412" t="s">
        <v>12</v>
      </c>
      <c r="B70" s="382"/>
      <c r="C70" s="218"/>
      <c r="D70" s="138">
        <f>D65+D69</f>
        <v>115.30247890482842</v>
      </c>
      <c r="E70" s="120"/>
      <c r="F70" s="120"/>
      <c r="G70" s="120"/>
      <c r="H70" s="120"/>
      <c r="I70" s="120"/>
      <c r="J70" s="120"/>
      <c r="K70" s="120"/>
      <c r="L70" s="120"/>
      <c r="M70" s="120"/>
      <c r="N70" s="120"/>
      <c r="O70" s="120"/>
      <c r="P70" s="120"/>
      <c r="Q70" s="120"/>
      <c r="R70" s="120"/>
      <c r="S70" s="120"/>
      <c r="T70" s="120"/>
      <c r="U70" s="120"/>
      <c r="V70" s="120"/>
      <c r="W70" s="120"/>
      <c r="X70" s="120"/>
      <c r="Y70" s="120"/>
      <c r="Z70" s="120"/>
    </row>
    <row r="71" spans="1:26" ht="15.75" x14ac:dyDescent="0.25">
      <c r="A71" s="120"/>
      <c r="B71" s="120"/>
      <c r="C71" s="120"/>
      <c r="D71" s="120"/>
    </row>
    <row r="72" spans="1:26" ht="15.75" x14ac:dyDescent="0.25">
      <c r="A72" s="383" t="s">
        <v>198</v>
      </c>
      <c r="B72" s="383"/>
      <c r="C72" s="383"/>
      <c r="D72" s="120"/>
    </row>
    <row r="73" spans="1:26" ht="15.75" x14ac:dyDescent="0.25">
      <c r="A73" s="120"/>
      <c r="B73" s="120"/>
      <c r="C73" s="120"/>
      <c r="D73" s="120"/>
    </row>
    <row r="74" spans="1:26" ht="15.75" x14ac:dyDescent="0.25">
      <c r="A74" s="403" t="s">
        <v>199</v>
      </c>
      <c r="B74" s="403"/>
      <c r="C74" s="403"/>
      <c r="D74" s="120"/>
    </row>
    <row r="75" spans="1:26" ht="16.5" thickBot="1" x14ac:dyDescent="0.3">
      <c r="A75" s="28"/>
      <c r="B75" s="120"/>
      <c r="C75" s="120"/>
      <c r="D75" s="120"/>
    </row>
    <row r="76" spans="1:26" ht="16.5" thickBot="1" x14ac:dyDescent="0.3">
      <c r="A76" s="112" t="s">
        <v>200</v>
      </c>
      <c r="B76" s="113" t="s">
        <v>201</v>
      </c>
      <c r="C76" s="113" t="s">
        <v>159</v>
      </c>
      <c r="D76" s="120"/>
    </row>
    <row r="77" spans="1:26" ht="16.5" thickBot="1" x14ac:dyDescent="0.3">
      <c r="A77" s="114" t="s">
        <v>160</v>
      </c>
      <c r="B77" s="115" t="s">
        <v>201</v>
      </c>
      <c r="C77" s="135">
        <f>'Custo por trabalhador'!B433</f>
        <v>290.41954908120346</v>
      </c>
      <c r="D77" s="120"/>
    </row>
    <row r="78" spans="1:26" ht="16.5" thickBot="1" x14ac:dyDescent="0.3">
      <c r="A78" s="404" t="s">
        <v>184</v>
      </c>
      <c r="B78" s="405"/>
      <c r="C78" s="138">
        <f>SUM(C77:C77)</f>
        <v>290.41954908120346</v>
      </c>
      <c r="D78" s="120"/>
    </row>
    <row r="79" spans="1:26" ht="15.75" x14ac:dyDescent="0.25">
      <c r="A79" s="120"/>
      <c r="B79" s="120"/>
      <c r="C79" s="120"/>
      <c r="D79" s="120"/>
    </row>
    <row r="80" spans="1:26" ht="15.75" x14ac:dyDescent="0.25">
      <c r="A80" s="403" t="s">
        <v>202</v>
      </c>
      <c r="B80" s="403"/>
      <c r="C80" s="403"/>
      <c r="D80" s="120"/>
    </row>
    <row r="81" spans="1:4" ht="16.5" thickBot="1" x14ac:dyDescent="0.3">
      <c r="A81" s="28"/>
      <c r="B81" s="120"/>
      <c r="C81" s="120"/>
      <c r="D81" s="120"/>
    </row>
    <row r="82" spans="1:4" ht="16.5" thickBot="1" x14ac:dyDescent="0.3">
      <c r="A82" s="112" t="s">
        <v>203</v>
      </c>
      <c r="B82" s="113" t="s">
        <v>204</v>
      </c>
      <c r="C82" s="113" t="s">
        <v>159</v>
      </c>
      <c r="D82" s="120"/>
    </row>
    <row r="83" spans="1:4" ht="16.5" thickBot="1" x14ac:dyDescent="0.3">
      <c r="A83" s="114" t="s">
        <v>160</v>
      </c>
      <c r="B83" s="115" t="s">
        <v>227</v>
      </c>
      <c r="C83" s="135">
        <f>'Custo por trabalhador'!C433</f>
        <v>353.88574653716637</v>
      </c>
      <c r="D83" s="120"/>
    </row>
    <row r="84" spans="1:4" ht="16.5" thickBot="1" x14ac:dyDescent="0.3">
      <c r="A84" s="404" t="s">
        <v>12</v>
      </c>
      <c r="B84" s="405"/>
      <c r="C84" s="138">
        <f>SUM(C83)</f>
        <v>353.88574653716637</v>
      </c>
      <c r="D84" s="120"/>
    </row>
    <row r="85" spans="1:4" ht="15.75" x14ac:dyDescent="0.25">
      <c r="A85" s="120"/>
      <c r="B85" s="120"/>
      <c r="C85" s="120"/>
      <c r="D85" s="120"/>
    </row>
    <row r="86" spans="1:4" ht="15.75" x14ac:dyDescent="0.25">
      <c r="A86" s="403" t="s">
        <v>205</v>
      </c>
      <c r="B86" s="403"/>
      <c r="C86" s="403"/>
      <c r="D86" s="120"/>
    </row>
    <row r="87" spans="1:4" ht="16.5" thickBot="1" x14ac:dyDescent="0.3">
      <c r="A87" s="28"/>
      <c r="B87" s="120"/>
      <c r="C87" s="120"/>
      <c r="D87" s="120"/>
    </row>
    <row r="88" spans="1:4" ht="16.5" thickBot="1" x14ac:dyDescent="0.3">
      <c r="A88" s="112">
        <v>4</v>
      </c>
      <c r="B88" s="113" t="s">
        <v>206</v>
      </c>
      <c r="C88" s="113" t="s">
        <v>159</v>
      </c>
      <c r="D88" s="120"/>
    </row>
    <row r="89" spans="1:4" ht="16.5" thickBot="1" x14ac:dyDescent="0.3">
      <c r="A89" s="114" t="s">
        <v>200</v>
      </c>
      <c r="B89" s="115" t="s">
        <v>201</v>
      </c>
      <c r="C89" s="136">
        <f>'Custo por trabalhador'!B433</f>
        <v>290.41954908120346</v>
      </c>
      <c r="D89" s="120"/>
    </row>
    <row r="90" spans="1:4" ht="16.5" thickBot="1" x14ac:dyDescent="0.3">
      <c r="A90" s="114" t="s">
        <v>203</v>
      </c>
      <c r="B90" s="115" t="s">
        <v>204</v>
      </c>
      <c r="C90" s="136">
        <f>'Custo por trabalhador'!C433</f>
        <v>353.88574653716637</v>
      </c>
      <c r="D90" s="120"/>
    </row>
    <row r="91" spans="1:4" ht="16.5" thickBot="1" x14ac:dyDescent="0.3">
      <c r="A91" s="404" t="s">
        <v>12</v>
      </c>
      <c r="B91" s="405"/>
      <c r="C91" s="137">
        <f>SUM(C89:C90)</f>
        <v>644.30529561836988</v>
      </c>
      <c r="D91" s="120"/>
    </row>
    <row r="92" spans="1:4" ht="15.75" x14ac:dyDescent="0.25">
      <c r="A92" s="120"/>
      <c r="B92" s="120"/>
      <c r="C92" s="120"/>
      <c r="D92" s="120"/>
    </row>
    <row r="93" spans="1:4" ht="15.75" x14ac:dyDescent="0.25">
      <c r="A93" s="383" t="s">
        <v>207</v>
      </c>
      <c r="B93" s="383"/>
      <c r="C93" s="383"/>
      <c r="D93" s="120"/>
    </row>
    <row r="94" spans="1:4" ht="16.5" thickBot="1" x14ac:dyDescent="0.3">
      <c r="A94" s="120"/>
      <c r="B94" s="120"/>
      <c r="C94" s="120"/>
      <c r="D94" s="120"/>
    </row>
    <row r="95" spans="1:4" ht="16.5" thickBot="1" x14ac:dyDescent="0.3">
      <c r="A95" s="112">
        <v>5</v>
      </c>
      <c r="B95" s="119" t="s">
        <v>120</v>
      </c>
      <c r="C95" s="113" t="s">
        <v>159</v>
      </c>
      <c r="D95" s="120"/>
    </row>
    <row r="96" spans="1:4" ht="16.5" thickBot="1" x14ac:dyDescent="0.3">
      <c r="A96" s="114" t="s">
        <v>160</v>
      </c>
      <c r="B96" s="115" t="s">
        <v>208</v>
      </c>
      <c r="C96" s="135">
        <f>'Custo por trabalhador'!B515</f>
        <v>256.16666666666669</v>
      </c>
      <c r="D96" s="120"/>
    </row>
    <row r="97" spans="1:4" ht="16.5" thickBot="1" x14ac:dyDescent="0.3">
      <c r="A97" s="114" t="s">
        <v>161</v>
      </c>
      <c r="B97" s="115" t="s">
        <v>209</v>
      </c>
      <c r="C97" s="135">
        <f>'Custo por trabalhador'!C515</f>
        <v>48.236249999999991</v>
      </c>
      <c r="D97" s="120"/>
    </row>
    <row r="98" spans="1:4" ht="16.5" thickBot="1" x14ac:dyDescent="0.3">
      <c r="A98" s="114" t="s">
        <v>162</v>
      </c>
      <c r="B98" s="115" t="s">
        <v>210</v>
      </c>
      <c r="C98" s="135">
        <f>'Custo por trabalhador'!D515</f>
        <v>74.857874999999993</v>
      </c>
      <c r="D98" s="120"/>
    </row>
    <row r="99" spans="1:4" ht="16.5" thickBot="1" x14ac:dyDescent="0.3">
      <c r="A99" s="114" t="s">
        <v>163</v>
      </c>
      <c r="B99" s="115" t="s">
        <v>257</v>
      </c>
      <c r="C99" s="135"/>
      <c r="D99" s="120"/>
    </row>
    <row r="100" spans="1:4" ht="16.5" thickBot="1" x14ac:dyDescent="0.3">
      <c r="A100" s="404" t="s">
        <v>184</v>
      </c>
      <c r="B100" s="405"/>
      <c r="C100" s="137">
        <f>SUM(C96:C99)</f>
        <v>379.26079166666665</v>
      </c>
      <c r="D100" s="120"/>
    </row>
    <row r="101" spans="1:4" ht="15.75" x14ac:dyDescent="0.25">
      <c r="A101" s="120"/>
      <c r="B101" s="120"/>
      <c r="C101" s="120"/>
      <c r="D101" s="120"/>
    </row>
    <row r="102" spans="1:4" ht="15.75" x14ac:dyDescent="0.25">
      <c r="A102" s="383" t="s">
        <v>211</v>
      </c>
      <c r="B102" s="383"/>
      <c r="C102" s="383"/>
      <c r="D102" s="383"/>
    </row>
    <row r="103" spans="1:4" ht="16.5" thickBot="1" x14ac:dyDescent="0.3">
      <c r="A103" s="120"/>
      <c r="B103" s="120"/>
      <c r="C103" s="120"/>
      <c r="D103" s="120"/>
    </row>
    <row r="104" spans="1:4" ht="16.5" thickBot="1" x14ac:dyDescent="0.3">
      <c r="A104" s="112">
        <v>6</v>
      </c>
      <c r="B104" s="119" t="s">
        <v>121</v>
      </c>
      <c r="C104" s="113" t="s">
        <v>177</v>
      </c>
      <c r="D104" s="113" t="s">
        <v>159</v>
      </c>
    </row>
    <row r="105" spans="1:4" ht="16.5" thickBot="1" x14ac:dyDescent="0.3">
      <c r="A105" s="114" t="s">
        <v>160</v>
      </c>
      <c r="B105" s="115" t="s">
        <v>138</v>
      </c>
      <c r="C105" s="117">
        <f>'Custo por trabalhador'!B524</f>
        <v>0.03</v>
      </c>
      <c r="D105" s="116"/>
    </row>
    <row r="106" spans="1:4" ht="16.5" thickBot="1" x14ac:dyDescent="0.3">
      <c r="A106" s="114" t="s">
        <v>161</v>
      </c>
      <c r="B106" s="115" t="s">
        <v>140</v>
      </c>
      <c r="C106" s="117">
        <f>'Custo por trabalhador'!B526</f>
        <v>3.2599999999999997E-2</v>
      </c>
      <c r="D106" s="116"/>
    </row>
    <row r="107" spans="1:4" ht="16.5" thickBot="1" x14ac:dyDescent="0.3">
      <c r="A107" s="114" t="s">
        <v>162</v>
      </c>
      <c r="B107" s="115" t="s">
        <v>139</v>
      </c>
      <c r="C107" s="117">
        <f>'Custo por trabalhador'!B525</f>
        <v>8.6499999999999994E-2</v>
      </c>
      <c r="D107" s="116"/>
    </row>
    <row r="108" spans="1:4" ht="16.5" thickBot="1" x14ac:dyDescent="0.3">
      <c r="A108" s="114"/>
      <c r="B108" s="115" t="s">
        <v>212</v>
      </c>
      <c r="C108" s="116"/>
      <c r="D108" s="116"/>
    </row>
    <row r="109" spans="1:4" ht="16.5" thickBot="1" x14ac:dyDescent="0.3">
      <c r="A109" s="114"/>
      <c r="B109" s="115" t="s">
        <v>213</v>
      </c>
      <c r="C109" s="116"/>
      <c r="D109" s="116"/>
    </row>
    <row r="110" spans="1:4" ht="16.5" thickBot="1" x14ac:dyDescent="0.3">
      <c r="A110" s="114"/>
      <c r="B110" s="115" t="s">
        <v>214</v>
      </c>
      <c r="C110" s="116"/>
      <c r="D110" s="116"/>
    </row>
    <row r="111" spans="1:4" ht="16.5" thickBot="1" x14ac:dyDescent="0.3">
      <c r="A111" s="404" t="s">
        <v>184</v>
      </c>
      <c r="B111" s="405"/>
      <c r="C111" s="144">
        <f>'Custo por trabalhador'!C531</f>
        <v>0.16925871268021342</v>
      </c>
      <c r="D111" s="138">
        <f>'Custo por trabalhador'!D531</f>
        <v>1000.2322389223231</v>
      </c>
    </row>
    <row r="112" spans="1:4" ht="16.5" thickBot="1" x14ac:dyDescent="0.3">
      <c r="A112" s="120"/>
      <c r="B112" s="120"/>
      <c r="C112" s="120"/>
      <c r="D112" s="120"/>
    </row>
    <row r="113" spans="1:5" s="120" customFormat="1" ht="16.5" thickBot="1" x14ac:dyDescent="0.3">
      <c r="A113" s="345" t="s">
        <v>254</v>
      </c>
      <c r="B113" s="346"/>
      <c r="C113" s="347"/>
    </row>
    <row r="114" spans="1:5" s="120" customFormat="1" ht="16.5" thickBot="1" x14ac:dyDescent="0.3">
      <c r="A114" s="215" t="s">
        <v>160</v>
      </c>
      <c r="B114" s="216" t="s">
        <v>255</v>
      </c>
      <c r="C114" s="217">
        <f>'Custo por trabalhador'!D543</f>
        <v>548.26570671613001</v>
      </c>
    </row>
    <row r="115" spans="1:5" s="120" customFormat="1" ht="15.75" x14ac:dyDescent="0.25">
      <c r="A115" s="90"/>
      <c r="B115" s="90"/>
      <c r="C115" s="90"/>
    </row>
    <row r="116" spans="1:5" s="120" customFormat="1" ht="15.75" x14ac:dyDescent="0.25">
      <c r="A116" s="383" t="s">
        <v>215</v>
      </c>
      <c r="B116" s="383"/>
      <c r="C116" s="383"/>
    </row>
    <row r="117" spans="1:5" s="120" customFormat="1" ht="16.5" thickBot="1" x14ac:dyDescent="0.3"/>
    <row r="118" spans="1:5" s="120" customFormat="1" ht="16.5" thickBot="1" x14ac:dyDescent="0.3">
      <c r="A118" s="112"/>
      <c r="B118" s="113" t="s">
        <v>216</v>
      </c>
      <c r="C118" s="113" t="s">
        <v>159</v>
      </c>
    </row>
    <row r="119" spans="1:5" s="120" customFormat="1" ht="16.5" thickBot="1" x14ac:dyDescent="0.3">
      <c r="A119" s="121" t="s">
        <v>160</v>
      </c>
      <c r="B119" s="115" t="s">
        <v>157</v>
      </c>
      <c r="C119" s="139">
        <f>'Custo por trabalhador'!C550</f>
        <v>2665.6546583333334</v>
      </c>
    </row>
    <row r="120" spans="1:5" s="120" customFormat="1" ht="16.5" thickBot="1" x14ac:dyDescent="0.3">
      <c r="A120" s="121" t="s">
        <v>161</v>
      </c>
      <c r="B120" s="115" t="s">
        <v>168</v>
      </c>
      <c r="C120" s="139">
        <f>'Custo por trabalhador'!C551</f>
        <v>2409.3671453069446</v>
      </c>
    </row>
    <row r="121" spans="1:5" s="120" customFormat="1" ht="16.5" thickBot="1" x14ac:dyDescent="0.3">
      <c r="A121" s="121" t="s">
        <v>162</v>
      </c>
      <c r="B121" s="115" t="s">
        <v>190</v>
      </c>
      <c r="C121" s="139">
        <f>'Custo por trabalhador'!C552</f>
        <v>115.30247890482842</v>
      </c>
    </row>
    <row r="122" spans="1:5" s="120" customFormat="1" ht="16.5" thickBot="1" x14ac:dyDescent="0.3">
      <c r="A122" s="121" t="s">
        <v>163</v>
      </c>
      <c r="B122" s="115" t="s">
        <v>198</v>
      </c>
      <c r="C122" s="139">
        <f>'Custo por trabalhador'!C553</f>
        <v>644.30529561836988</v>
      </c>
    </row>
    <row r="123" spans="1:5" s="120" customFormat="1" ht="16.5" thickBot="1" x14ac:dyDescent="0.3">
      <c r="A123" s="121" t="s">
        <v>164</v>
      </c>
      <c r="B123" s="115" t="s">
        <v>207</v>
      </c>
      <c r="C123" s="139">
        <f>'Custo por trabalhador'!C554</f>
        <v>379.26079166666665</v>
      </c>
    </row>
    <row r="124" spans="1:5" s="120" customFormat="1" ht="16.5" thickBot="1" x14ac:dyDescent="0.3">
      <c r="A124" s="404" t="s">
        <v>217</v>
      </c>
      <c r="B124" s="405"/>
      <c r="C124" s="140">
        <f>ROUND(SUM(C119:C123),(2))</f>
        <v>6213.89</v>
      </c>
    </row>
    <row r="125" spans="1:5" s="120" customFormat="1" ht="16.5" thickBot="1" x14ac:dyDescent="0.3">
      <c r="A125" s="133" t="s">
        <v>165</v>
      </c>
      <c r="B125" s="134" t="s">
        <v>218</v>
      </c>
      <c r="C125" s="141">
        <f>'Custo por trabalhador'!C555</f>
        <v>1000.2322389223231</v>
      </c>
    </row>
    <row r="126" spans="1:5" s="120" customFormat="1" ht="16.5" thickBot="1" x14ac:dyDescent="0.3">
      <c r="A126" s="133" t="s">
        <v>166</v>
      </c>
      <c r="B126" s="134" t="s">
        <v>255</v>
      </c>
      <c r="C126" s="141">
        <f>'Custo por trabalhador'!C556</f>
        <v>548.26570671613001</v>
      </c>
    </row>
    <row r="127" spans="1:5" s="120" customFormat="1" ht="16.5" thickBot="1" x14ac:dyDescent="0.3">
      <c r="A127" s="397" t="s">
        <v>219</v>
      </c>
      <c r="B127" s="398"/>
      <c r="C127" s="145">
        <f>ROUND(SUM(C119:C123,C125:C126),(2))</f>
        <v>7762.39</v>
      </c>
      <c r="E127" s="142"/>
    </row>
    <row r="128" spans="1:5" s="120" customFormat="1" ht="16.5" thickBot="1" x14ac:dyDescent="0.3">
      <c r="A128" s="397" t="s">
        <v>239</v>
      </c>
      <c r="B128" s="398"/>
      <c r="C128" s="145">
        <f>ROUND(SUM(C127),(2))*2</f>
        <v>15524.78</v>
      </c>
    </row>
    <row r="129" spans="1:4" s="120" customFormat="1" ht="15.75" x14ac:dyDescent="0.25"/>
    <row r="130" spans="1:4" ht="15.75" x14ac:dyDescent="0.25">
      <c r="A130" s="120"/>
      <c r="B130" s="120"/>
      <c r="C130" s="120"/>
      <c r="D130" s="120"/>
    </row>
    <row r="132" spans="1:4" x14ac:dyDescent="0.25">
      <c r="D132" s="146"/>
    </row>
  </sheetData>
  <mergeCells count="34">
    <mergeCell ref="A1:D1"/>
    <mergeCell ref="A2:D2"/>
    <mergeCell ref="A3:D3"/>
    <mergeCell ref="A8:C8"/>
    <mergeCell ref="A18:B18"/>
    <mergeCell ref="A5:C5"/>
    <mergeCell ref="A6:C6"/>
    <mergeCell ref="A40:B40"/>
    <mergeCell ref="A72:C72"/>
    <mergeCell ref="A20:C20"/>
    <mergeCell ref="A29:D29"/>
    <mergeCell ref="A74:C74"/>
    <mergeCell ref="A42:C42"/>
    <mergeCell ref="A22:C22"/>
    <mergeCell ref="A27:B27"/>
    <mergeCell ref="A49:B49"/>
    <mergeCell ref="A51:C51"/>
    <mergeCell ref="A57:B57"/>
    <mergeCell ref="A59:C59"/>
    <mergeCell ref="A113:C113"/>
    <mergeCell ref="A116:C116"/>
    <mergeCell ref="A124:B124"/>
    <mergeCell ref="A127:B127"/>
    <mergeCell ref="A128:B128"/>
    <mergeCell ref="A111:B111"/>
    <mergeCell ref="A70:B70"/>
    <mergeCell ref="A102:D102"/>
    <mergeCell ref="A78:B78"/>
    <mergeCell ref="A80:C80"/>
    <mergeCell ref="A84:B84"/>
    <mergeCell ref="A86:C86"/>
    <mergeCell ref="A91:B91"/>
    <mergeCell ref="A93:C93"/>
    <mergeCell ref="A100:B10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055944-CCA1-4C3A-B0FF-9EC5F3D0B472}">
  <dimension ref="A1:E128"/>
  <sheetViews>
    <sheetView topLeftCell="A109" zoomScale="115" zoomScaleNormal="115" workbookViewId="0">
      <selection activeCell="C127" sqref="C127"/>
    </sheetView>
  </sheetViews>
  <sheetFormatPr defaultRowHeight="15" x14ac:dyDescent="0.25"/>
  <cols>
    <col min="2" max="2" width="76.5703125" customWidth="1"/>
    <col min="3" max="3" width="18" customWidth="1"/>
    <col min="4" max="4" width="14.28515625" customWidth="1"/>
  </cols>
  <sheetData>
    <row r="1" spans="1:5" ht="23.25" x14ac:dyDescent="0.35">
      <c r="A1" s="374" t="s">
        <v>220</v>
      </c>
      <c r="B1" s="374"/>
      <c r="C1" s="374"/>
      <c r="D1" s="374"/>
    </row>
    <row r="2" spans="1:5" ht="23.25" x14ac:dyDescent="0.35">
      <c r="A2" s="374" t="s">
        <v>343</v>
      </c>
      <c r="B2" s="374"/>
      <c r="C2" s="374"/>
      <c r="D2" s="374"/>
    </row>
    <row r="3" spans="1:5" ht="15.75" x14ac:dyDescent="0.25">
      <c r="A3" s="402" t="s">
        <v>226</v>
      </c>
      <c r="B3" s="402"/>
      <c r="C3" s="402"/>
      <c r="D3" s="402"/>
    </row>
    <row r="4" spans="1:5" ht="16.5" thickBot="1" x14ac:dyDescent="0.3">
      <c r="A4" s="143"/>
      <c r="B4" s="143"/>
      <c r="C4" s="143"/>
      <c r="D4" s="143"/>
    </row>
    <row r="5" spans="1:5" ht="16.5" thickBot="1" x14ac:dyDescent="0.3">
      <c r="A5" s="413" t="s">
        <v>240</v>
      </c>
      <c r="B5" s="414"/>
      <c r="C5" s="415"/>
      <c r="D5" s="143"/>
    </row>
    <row r="6" spans="1:5" ht="15.6" customHeight="1" thickBot="1" x14ac:dyDescent="0.3">
      <c r="A6" s="419" t="s">
        <v>230</v>
      </c>
      <c r="B6" s="420"/>
      <c r="C6" s="421"/>
      <c r="D6" s="143"/>
    </row>
    <row r="7" spans="1:5" ht="15.75" x14ac:dyDescent="0.25">
      <c r="A7" s="120"/>
      <c r="B7" s="120"/>
      <c r="C7" s="120"/>
      <c r="D7" s="120"/>
    </row>
    <row r="8" spans="1:5" ht="15.75" x14ac:dyDescent="0.25">
      <c r="A8" s="383" t="s">
        <v>157</v>
      </c>
      <c r="B8" s="383"/>
      <c r="C8" s="383"/>
      <c r="D8" s="120"/>
    </row>
    <row r="9" spans="1:5" ht="16.5" thickBot="1" x14ac:dyDescent="0.3">
      <c r="A9" s="120"/>
      <c r="B9" s="120"/>
      <c r="C9" s="120"/>
      <c r="D9" s="120"/>
    </row>
    <row r="10" spans="1:5" ht="16.5" thickBot="1" x14ac:dyDescent="0.3">
      <c r="A10" s="112">
        <v>1</v>
      </c>
      <c r="B10" s="113" t="s">
        <v>158</v>
      </c>
      <c r="C10" s="113" t="s">
        <v>159</v>
      </c>
      <c r="D10" s="120"/>
    </row>
    <row r="11" spans="1:5" ht="17.45" customHeight="1" thickBot="1" x14ac:dyDescent="0.3">
      <c r="A11" s="114" t="s">
        <v>160</v>
      </c>
      <c r="B11" s="115" t="str">
        <f>'Custo por trabalhador'!B68</f>
        <v>Salário Base - Cláusula 3ª, CCT 2024/2026</v>
      </c>
      <c r="C11" s="135">
        <f>'Custo por trabalhador'!B71</f>
        <v>1733.93</v>
      </c>
      <c r="D11" s="120"/>
    </row>
    <row r="12" spans="1:5" ht="17.45" customHeight="1" thickBot="1" x14ac:dyDescent="0.3">
      <c r="A12" s="114" t="s">
        <v>161</v>
      </c>
      <c r="B12" s="115" t="str">
        <f>'Custo por trabalhador'!C68</f>
        <v xml:space="preserve">Gratificação de Função e Adicional -  Cláusula 12ª CCT 2024/2026, § 1º, Alínea a </v>
      </c>
      <c r="C12" s="135">
        <f>'Custo por trabalhador'!C71</f>
        <v>0</v>
      </c>
      <c r="D12" s="120"/>
      <c r="E12" s="147"/>
    </row>
    <row r="13" spans="1:5" ht="16.5" thickBot="1" x14ac:dyDescent="0.3">
      <c r="A13" s="114" t="s">
        <v>162</v>
      </c>
      <c r="B13" s="115" t="str">
        <f>'Custo por trabalhador'!D68</f>
        <v xml:space="preserve">Gratificação de Função e Adicional -  Cláusula 12ª CCT 2024/2026, § 2º, Alínea a </v>
      </c>
      <c r="C13" s="135">
        <f>'Custo por trabalhador'!D71</f>
        <v>208.07159999999999</v>
      </c>
      <c r="D13" s="120"/>
    </row>
    <row r="14" spans="1:5" ht="16.5" thickBot="1" x14ac:dyDescent="0.3">
      <c r="A14" s="114" t="s">
        <v>163</v>
      </c>
      <c r="B14" s="115" t="str">
        <f>'Custo por trabalhador'!E68</f>
        <v>Adicional de   Periculosidade   - Cláusula 14º CCT 2024/2026</v>
      </c>
      <c r="C14" s="135">
        <f>'Custo por trabalhador'!E71</f>
        <v>520.17899999999997</v>
      </c>
      <c r="D14" s="120"/>
    </row>
    <row r="15" spans="1:5" ht="16.5" thickBot="1" x14ac:dyDescent="0.3">
      <c r="A15" s="114" t="s">
        <v>164</v>
      </c>
      <c r="B15" s="115" t="str">
        <f>'Custo por trabalhador'!F68</f>
        <v>Adicional Noturno - Cláusula 13ª CCT 2024/2026</v>
      </c>
      <c r="C15" s="135">
        <f>'Custo por trabalhador'!F71</f>
        <v>0</v>
      </c>
      <c r="D15" s="120"/>
    </row>
    <row r="16" spans="1:5" ht="16.5" thickBot="1" x14ac:dyDescent="0.3">
      <c r="A16" s="114" t="s">
        <v>165</v>
      </c>
      <c r="B16" s="115" t="str">
        <f>'Custo por trabalhador'!G68</f>
        <v>Adicional - Clausula 31º, § 4º - CCT 2024/2026</v>
      </c>
      <c r="C16" s="135">
        <f>'Custo por trabalhador'!G71</f>
        <v>30.737849999999995</v>
      </c>
      <c r="D16" s="120"/>
    </row>
    <row r="17" spans="1:4" ht="16.5" thickBot="1" x14ac:dyDescent="0.3">
      <c r="A17" s="114"/>
      <c r="B17" s="115"/>
      <c r="C17" s="135"/>
      <c r="D17" s="120"/>
    </row>
    <row r="18" spans="1:4" ht="16.5" thickBot="1" x14ac:dyDescent="0.3">
      <c r="A18" s="404" t="s">
        <v>12</v>
      </c>
      <c r="B18" s="405"/>
      <c r="C18" s="138">
        <f>SUM(C11:C17)</f>
        <v>2492.9184500000001</v>
      </c>
      <c r="D18" s="120"/>
    </row>
    <row r="19" spans="1:4" ht="15.75" x14ac:dyDescent="0.25">
      <c r="A19" s="120"/>
      <c r="B19" s="120"/>
      <c r="C19" s="120"/>
      <c r="D19" s="120"/>
    </row>
    <row r="20" spans="1:4" ht="15.75" x14ac:dyDescent="0.25">
      <c r="A20" s="383" t="s">
        <v>168</v>
      </c>
      <c r="B20" s="383"/>
      <c r="C20" s="383"/>
      <c r="D20" s="120"/>
    </row>
    <row r="21" spans="1:4" ht="15.75" x14ac:dyDescent="0.25">
      <c r="A21" s="28"/>
      <c r="B21" s="120"/>
      <c r="C21" s="120"/>
      <c r="D21" s="120"/>
    </row>
    <row r="22" spans="1:4" ht="15.75" x14ac:dyDescent="0.25">
      <c r="A22" s="403" t="s">
        <v>169</v>
      </c>
      <c r="B22" s="403"/>
      <c r="C22" s="403"/>
      <c r="D22" s="120"/>
    </row>
    <row r="23" spans="1:4" ht="16.5" thickBot="1" x14ac:dyDescent="0.3">
      <c r="A23" s="120"/>
      <c r="B23" s="120"/>
      <c r="C23" s="120"/>
      <c r="D23" s="120"/>
    </row>
    <row r="24" spans="1:4" ht="16.5" thickBot="1" x14ac:dyDescent="0.3">
      <c r="A24" s="112" t="s">
        <v>170</v>
      </c>
      <c r="B24" s="113" t="s">
        <v>171</v>
      </c>
      <c r="C24" s="113" t="s">
        <v>159</v>
      </c>
      <c r="D24" s="120"/>
    </row>
    <row r="25" spans="1:4" ht="16.5" thickBot="1" x14ac:dyDescent="0.3">
      <c r="A25" s="114" t="s">
        <v>160</v>
      </c>
      <c r="B25" s="115" t="s">
        <v>172</v>
      </c>
      <c r="C25" s="135">
        <f>'Custo por trabalhador'!B111</f>
        <v>207.74320416666666</v>
      </c>
      <c r="D25" s="120"/>
    </row>
    <row r="26" spans="1:4" ht="16.5" thickBot="1" x14ac:dyDescent="0.3">
      <c r="A26" s="114" t="s">
        <v>161</v>
      </c>
      <c r="B26" s="115" t="s">
        <v>173</v>
      </c>
      <c r="C26" s="135">
        <f>'Custo por trabalhador'!C111+'Custo por trabalhador'!D111</f>
        <v>276.99093888888888</v>
      </c>
      <c r="D26" s="120"/>
    </row>
    <row r="27" spans="1:4" ht="16.5" thickBot="1" x14ac:dyDescent="0.3">
      <c r="A27" s="404" t="s">
        <v>12</v>
      </c>
      <c r="B27" s="405"/>
      <c r="C27" s="138">
        <f>SUM(C25:C26)</f>
        <v>484.73414305555553</v>
      </c>
      <c r="D27" s="120"/>
    </row>
    <row r="28" spans="1:4" ht="15.75" x14ac:dyDescent="0.25">
      <c r="A28" s="120"/>
      <c r="B28" s="120"/>
      <c r="C28" s="120"/>
      <c r="D28" s="120"/>
    </row>
    <row r="29" spans="1:4" ht="15.75" customHeight="1" x14ac:dyDescent="0.25">
      <c r="A29" s="406" t="s">
        <v>174</v>
      </c>
      <c r="B29" s="406"/>
      <c r="C29" s="406"/>
      <c r="D29" s="406"/>
    </row>
    <row r="30" spans="1:4" ht="16.5" thickBot="1" x14ac:dyDescent="0.3">
      <c r="A30" s="120"/>
      <c r="B30" s="120"/>
      <c r="C30" s="120"/>
      <c r="D30" s="120"/>
    </row>
    <row r="31" spans="1:4" ht="16.5" thickBot="1" x14ac:dyDescent="0.3">
      <c r="A31" s="112" t="s">
        <v>175</v>
      </c>
      <c r="B31" s="113" t="s">
        <v>176</v>
      </c>
      <c r="C31" s="253" t="s">
        <v>177</v>
      </c>
      <c r="D31" s="113" t="s">
        <v>159</v>
      </c>
    </row>
    <row r="32" spans="1:4" ht="16.5" thickBot="1" x14ac:dyDescent="0.3">
      <c r="A32" s="114" t="s">
        <v>160</v>
      </c>
      <c r="B32" s="115" t="s">
        <v>178</v>
      </c>
      <c r="C32" s="254">
        <f>'Custo por trabalhador'!B121</f>
        <v>0.2</v>
      </c>
      <c r="D32" s="135">
        <f t="shared" ref="D32:D39" si="0">($C$18+$C$27)*C32</f>
        <v>595.53051861111123</v>
      </c>
    </row>
    <row r="33" spans="1:4" ht="16.5" thickBot="1" x14ac:dyDescent="0.3">
      <c r="A33" s="114" t="s">
        <v>161</v>
      </c>
      <c r="B33" s="115" t="s">
        <v>179</v>
      </c>
      <c r="C33" s="254">
        <f>'Custo por trabalhador'!B122</f>
        <v>2.5000000000000001E-2</v>
      </c>
      <c r="D33" s="135">
        <f t="shared" si="0"/>
        <v>74.441314826388904</v>
      </c>
    </row>
    <row r="34" spans="1:4" ht="16.5" thickBot="1" x14ac:dyDescent="0.3">
      <c r="A34" s="114" t="s">
        <v>162</v>
      </c>
      <c r="B34" s="115" t="s">
        <v>180</v>
      </c>
      <c r="C34" s="118">
        <f>'Custo por trabalhador'!B123</f>
        <v>0.06</v>
      </c>
      <c r="D34" s="135">
        <f t="shared" si="0"/>
        <v>178.65915558333333</v>
      </c>
    </row>
    <row r="35" spans="1:4" ht="16.5" thickBot="1" x14ac:dyDescent="0.3">
      <c r="A35" s="114" t="s">
        <v>163</v>
      </c>
      <c r="B35" s="115" t="s">
        <v>181</v>
      </c>
      <c r="C35" s="254">
        <f>'Custo por trabalhador'!B124</f>
        <v>1.4999999999999999E-2</v>
      </c>
      <c r="D35" s="135">
        <f t="shared" si="0"/>
        <v>44.664788895833333</v>
      </c>
    </row>
    <row r="36" spans="1:4" ht="16.5" thickBot="1" x14ac:dyDescent="0.3">
      <c r="A36" s="114" t="s">
        <v>164</v>
      </c>
      <c r="B36" s="115" t="s">
        <v>182</v>
      </c>
      <c r="C36" s="254">
        <f>'Custo por trabalhador'!B125</f>
        <v>0.01</v>
      </c>
      <c r="D36" s="135">
        <f t="shared" si="0"/>
        <v>29.776525930555557</v>
      </c>
    </row>
    <row r="37" spans="1:4" ht="16.5" thickBot="1" x14ac:dyDescent="0.3">
      <c r="A37" s="114" t="s">
        <v>165</v>
      </c>
      <c r="B37" s="115" t="s">
        <v>25</v>
      </c>
      <c r="C37" s="254">
        <f>'Custo por trabalhador'!B126</f>
        <v>6.0000000000000001E-3</v>
      </c>
      <c r="D37" s="135">
        <f t="shared" si="0"/>
        <v>17.865915558333334</v>
      </c>
    </row>
    <row r="38" spans="1:4" ht="16.5" thickBot="1" x14ac:dyDescent="0.3">
      <c r="A38" s="114" t="s">
        <v>166</v>
      </c>
      <c r="B38" s="115" t="s">
        <v>26</v>
      </c>
      <c r="C38" s="254">
        <f>'Custo por trabalhador'!B127</f>
        <v>2E-3</v>
      </c>
      <c r="D38" s="135">
        <f t="shared" si="0"/>
        <v>5.9553051861111115</v>
      </c>
    </row>
    <row r="39" spans="1:4" ht="16.5" thickBot="1" x14ac:dyDescent="0.3">
      <c r="A39" s="114" t="s">
        <v>183</v>
      </c>
      <c r="B39" s="115" t="s">
        <v>27</v>
      </c>
      <c r="C39" s="254">
        <f>'Custo por trabalhador'!B128</f>
        <v>0.08</v>
      </c>
      <c r="D39" s="135">
        <f t="shared" si="0"/>
        <v>238.21220744444446</v>
      </c>
    </row>
    <row r="40" spans="1:4" ht="16.5" thickBot="1" x14ac:dyDescent="0.3">
      <c r="A40" s="404" t="s">
        <v>184</v>
      </c>
      <c r="B40" s="405"/>
      <c r="C40" s="144">
        <f>'Custo por trabalhador'!B129</f>
        <v>0.39800000000000008</v>
      </c>
      <c r="D40" s="138">
        <f>SUM(D32:D39)</f>
        <v>1185.1057320361112</v>
      </c>
    </row>
    <row r="41" spans="1:4" ht="15.75" x14ac:dyDescent="0.25">
      <c r="A41" s="120"/>
      <c r="B41" s="120"/>
      <c r="C41" s="120"/>
      <c r="D41" s="120"/>
    </row>
    <row r="42" spans="1:4" ht="15.75" x14ac:dyDescent="0.25">
      <c r="A42" s="403" t="s">
        <v>185</v>
      </c>
      <c r="B42" s="403"/>
      <c r="C42" s="403"/>
      <c r="D42" s="120"/>
    </row>
    <row r="43" spans="1:4" ht="16.5" thickBot="1" x14ac:dyDescent="0.3">
      <c r="A43" s="120"/>
      <c r="B43" s="120"/>
      <c r="C43" s="120"/>
      <c r="D43" s="120"/>
    </row>
    <row r="44" spans="1:4" ht="16.5" thickBot="1" x14ac:dyDescent="0.3">
      <c r="A44" s="112" t="s">
        <v>186</v>
      </c>
      <c r="B44" s="113" t="s">
        <v>187</v>
      </c>
      <c r="C44" s="113" t="s">
        <v>159</v>
      </c>
      <c r="D44" s="120"/>
    </row>
    <row r="45" spans="1:4" ht="16.5" thickBot="1" x14ac:dyDescent="0.3">
      <c r="A45" s="114" t="s">
        <v>160</v>
      </c>
      <c r="B45" s="115" t="str">
        <f>'Custo por trabalhador'!B241</f>
        <v>Vale Transporte - Cláusula 16ª CCT 2024/2026</v>
      </c>
      <c r="C45" s="135">
        <f>'Custo por trabalhador'!B245</f>
        <v>67.982100000000003</v>
      </c>
      <c r="D45" s="120"/>
    </row>
    <row r="46" spans="1:4" ht="16.5" thickBot="1" x14ac:dyDescent="0.3">
      <c r="A46" s="114" t="s">
        <v>161</v>
      </c>
      <c r="B46" s="115" t="str">
        <f>'Custo por trabalhador'!C241</f>
        <v>Vale Refeição - Cláusula 15ª CCT 2024/2026</v>
      </c>
      <c r="C46" s="135">
        <f>'Custo por trabalhador'!C245</f>
        <v>471.96069999999997</v>
      </c>
      <c r="D46" s="120"/>
    </row>
    <row r="47" spans="1:4" ht="16.5" thickBot="1" x14ac:dyDescent="0.3">
      <c r="A47" s="114" t="s">
        <v>162</v>
      </c>
      <c r="B47" s="115" t="str">
        <f>'Custo por trabalhador'!D241</f>
        <v xml:space="preserve"> Card Saúde- Abraps Bombank - Clausula 58º CCT 2024/2026</v>
      </c>
      <c r="C47" s="135">
        <f>'Custo por trabalhador'!D245</f>
        <v>83.88</v>
      </c>
      <c r="D47" s="120"/>
    </row>
    <row r="48" spans="1:4" ht="16.5" thickBot="1" x14ac:dyDescent="0.3">
      <c r="A48" s="114" t="s">
        <v>163</v>
      </c>
      <c r="B48" s="115" t="s">
        <v>167</v>
      </c>
      <c r="C48" s="135">
        <f>'Custo por trabalhador'!E245</f>
        <v>0</v>
      </c>
      <c r="D48" s="120"/>
    </row>
    <row r="49" spans="1:4" ht="16.5" thickBot="1" x14ac:dyDescent="0.3">
      <c r="A49" s="404" t="s">
        <v>12</v>
      </c>
      <c r="B49" s="405"/>
      <c r="C49" s="138">
        <f>SUM(C45:C48)</f>
        <v>623.82280000000003</v>
      </c>
      <c r="D49" s="120"/>
    </row>
    <row r="50" spans="1:4" ht="15.75" x14ac:dyDescent="0.25">
      <c r="A50" s="120"/>
      <c r="B50" s="120"/>
      <c r="C50" s="120"/>
      <c r="D50" s="120"/>
    </row>
    <row r="51" spans="1:4" ht="15.75" x14ac:dyDescent="0.25">
      <c r="A51" s="403" t="s">
        <v>188</v>
      </c>
      <c r="B51" s="403"/>
      <c r="C51" s="403"/>
      <c r="D51" s="120"/>
    </row>
    <row r="52" spans="1:4" ht="16.5" thickBot="1" x14ac:dyDescent="0.3">
      <c r="A52" s="120"/>
      <c r="B52" s="120"/>
      <c r="C52" s="120"/>
      <c r="D52" s="120"/>
    </row>
    <row r="53" spans="1:4" ht="16.5" thickBot="1" x14ac:dyDescent="0.3">
      <c r="A53" s="112">
        <v>2</v>
      </c>
      <c r="B53" s="113" t="s">
        <v>189</v>
      </c>
      <c r="C53" s="113" t="s">
        <v>159</v>
      </c>
      <c r="D53" s="120"/>
    </row>
    <row r="54" spans="1:4" ht="16.5" thickBot="1" x14ac:dyDescent="0.3">
      <c r="A54" s="114" t="s">
        <v>170</v>
      </c>
      <c r="B54" s="115" t="s">
        <v>171</v>
      </c>
      <c r="C54" s="135">
        <f>'Custo por trabalhador'!B255</f>
        <v>484.73414305555553</v>
      </c>
      <c r="D54" s="120"/>
    </row>
    <row r="55" spans="1:4" ht="16.5" thickBot="1" x14ac:dyDescent="0.3">
      <c r="A55" s="114" t="s">
        <v>175</v>
      </c>
      <c r="B55" s="115" t="s">
        <v>176</v>
      </c>
      <c r="C55" s="135">
        <f>'Custo por trabalhador'!C255</f>
        <v>1185.1057320361115</v>
      </c>
      <c r="D55" s="120"/>
    </row>
    <row r="56" spans="1:4" ht="16.5" thickBot="1" x14ac:dyDescent="0.3">
      <c r="A56" s="114" t="s">
        <v>186</v>
      </c>
      <c r="B56" s="115" t="s">
        <v>187</v>
      </c>
      <c r="C56" s="135">
        <f>'Custo por trabalhador'!D255</f>
        <v>623.82280000000003</v>
      </c>
      <c r="D56" s="120"/>
    </row>
    <row r="57" spans="1:4" ht="16.5" thickBot="1" x14ac:dyDescent="0.3">
      <c r="A57" s="404" t="s">
        <v>12</v>
      </c>
      <c r="B57" s="405"/>
      <c r="C57" s="138">
        <f>SUM(C54:C56)</f>
        <v>2293.6626750916671</v>
      </c>
      <c r="D57" s="120"/>
    </row>
    <row r="58" spans="1:4" ht="15.75" x14ac:dyDescent="0.25">
      <c r="A58" s="120"/>
      <c r="B58" s="120"/>
      <c r="C58" s="120"/>
      <c r="D58" s="120"/>
    </row>
    <row r="59" spans="1:4" ht="15.75" x14ac:dyDescent="0.25">
      <c r="A59" s="383" t="s">
        <v>190</v>
      </c>
      <c r="B59" s="383"/>
      <c r="C59" s="383"/>
      <c r="D59" s="120"/>
    </row>
    <row r="60" spans="1:4" ht="16.5" thickBot="1" x14ac:dyDescent="0.3">
      <c r="A60" s="120"/>
      <c r="B60" s="120"/>
      <c r="C60" s="120"/>
      <c r="D60" s="120"/>
    </row>
    <row r="61" spans="1:4" s="120" customFormat="1" ht="16.5" thickBot="1" x14ac:dyDescent="0.3">
      <c r="A61" s="133">
        <v>3</v>
      </c>
      <c r="B61" s="193" t="s">
        <v>191</v>
      </c>
      <c r="C61" s="193" t="s">
        <v>159</v>
      </c>
      <c r="D61" s="193" t="s">
        <v>159</v>
      </c>
    </row>
    <row r="62" spans="1:4" s="120" customFormat="1" ht="15.75" x14ac:dyDescent="0.25">
      <c r="A62" s="40" t="s">
        <v>160</v>
      </c>
      <c r="B62" s="198" t="s">
        <v>192</v>
      </c>
      <c r="C62" s="199"/>
      <c r="D62" s="200">
        <f>'Custo por trabalhador'!B295</f>
        <v>2977.6525930555558</v>
      </c>
    </row>
    <row r="63" spans="1:4" s="120" customFormat="1" ht="15.75" x14ac:dyDescent="0.25">
      <c r="A63" s="23" t="s">
        <v>161</v>
      </c>
      <c r="B63" s="195" t="s">
        <v>193</v>
      </c>
      <c r="C63" s="197">
        <v>0.08</v>
      </c>
      <c r="D63" s="201">
        <f>'Custo por trabalhador'!C295</f>
        <v>238.21220744444446</v>
      </c>
    </row>
    <row r="64" spans="1:4" s="120" customFormat="1" ht="16.5" thickBot="1" x14ac:dyDescent="0.3">
      <c r="A64" s="24" t="s">
        <v>162</v>
      </c>
      <c r="B64" s="202" t="s">
        <v>194</v>
      </c>
      <c r="C64" s="221">
        <v>0.4</v>
      </c>
      <c r="D64" s="204">
        <f>'Custo por trabalhador'!D295</f>
        <v>95.284882977777784</v>
      </c>
    </row>
    <row r="65" spans="1:4" s="120" customFormat="1" ht="16.5" thickBot="1" x14ac:dyDescent="0.3">
      <c r="A65" s="208"/>
      <c r="B65" s="209" t="s">
        <v>252</v>
      </c>
      <c r="C65" s="226">
        <f>'Custo por trabalhador'!B265</f>
        <v>4.1999999999999997E-3</v>
      </c>
      <c r="D65" s="211">
        <f>'Custo por trabalhador'!F295</f>
        <v>13.906828670606668</v>
      </c>
    </row>
    <row r="66" spans="1:4" s="120" customFormat="1" ht="15.75" x14ac:dyDescent="0.25">
      <c r="A66" s="222" t="s">
        <v>163</v>
      </c>
      <c r="B66" s="223" t="s">
        <v>195</v>
      </c>
      <c r="C66" s="224"/>
      <c r="D66" s="225">
        <f>'Custo por trabalhador'!B324</f>
        <v>3601.4753930555557</v>
      </c>
    </row>
    <row r="67" spans="1:4" s="120" customFormat="1" ht="15.75" x14ac:dyDescent="0.25">
      <c r="A67" s="194" t="s">
        <v>164</v>
      </c>
      <c r="B67" s="195" t="s">
        <v>196</v>
      </c>
      <c r="C67" s="205">
        <f>C40</f>
        <v>0.39800000000000008</v>
      </c>
      <c r="D67" s="196">
        <f>'Custo por trabalhador'!C324</f>
        <v>1185.1057320361115</v>
      </c>
    </row>
    <row r="68" spans="1:4" s="120" customFormat="1" ht="16.5" thickBot="1" x14ac:dyDescent="0.3">
      <c r="A68" s="206" t="s">
        <v>165</v>
      </c>
      <c r="B68" s="202" t="s">
        <v>197</v>
      </c>
      <c r="C68" s="207">
        <v>0.4</v>
      </c>
      <c r="D68" s="203">
        <f>'Custo por trabalhador'!D324</f>
        <v>95.284882977777784</v>
      </c>
    </row>
    <row r="69" spans="1:4" s="120" customFormat="1" ht="16.5" thickBot="1" x14ac:dyDescent="0.3">
      <c r="A69" s="153"/>
      <c r="B69" s="209" t="s">
        <v>253</v>
      </c>
      <c r="C69" s="210">
        <f>'Custo por trabalhador'!B266</f>
        <v>1.9400000000000001E-2</v>
      </c>
      <c r="D69" s="211">
        <f>'Custo por trabalhador'!F324</f>
        <v>94.708200556547226</v>
      </c>
    </row>
    <row r="70" spans="1:4" s="120" customFormat="1" ht="16.5" thickBot="1" x14ac:dyDescent="0.3">
      <c r="A70" s="410" t="s">
        <v>12</v>
      </c>
      <c r="B70" s="411"/>
      <c r="C70" s="138"/>
      <c r="D70" s="138">
        <f>D65+D69</f>
        <v>108.6150292271539</v>
      </c>
    </row>
    <row r="71" spans="1:4" ht="15.75" x14ac:dyDescent="0.25">
      <c r="A71" s="120"/>
      <c r="B71" s="120"/>
      <c r="C71" s="120"/>
      <c r="D71" s="120"/>
    </row>
    <row r="72" spans="1:4" ht="15.75" x14ac:dyDescent="0.25">
      <c r="A72" s="383" t="s">
        <v>198</v>
      </c>
      <c r="B72" s="383"/>
      <c r="C72" s="383"/>
      <c r="D72" s="120"/>
    </row>
    <row r="73" spans="1:4" ht="15.75" x14ac:dyDescent="0.25">
      <c r="A73" s="120"/>
      <c r="B73" s="120"/>
      <c r="C73" s="120"/>
      <c r="D73" s="120"/>
    </row>
    <row r="74" spans="1:4" ht="15.75" x14ac:dyDescent="0.25">
      <c r="A74" s="403" t="s">
        <v>199</v>
      </c>
      <c r="B74" s="403"/>
      <c r="C74" s="403"/>
      <c r="D74" s="120"/>
    </row>
    <row r="75" spans="1:4" ht="16.5" thickBot="1" x14ac:dyDescent="0.3">
      <c r="A75" s="28"/>
      <c r="B75" s="120"/>
      <c r="C75" s="120"/>
      <c r="D75" s="120"/>
    </row>
    <row r="76" spans="1:4" ht="16.5" thickBot="1" x14ac:dyDescent="0.3">
      <c r="A76" s="112" t="s">
        <v>200</v>
      </c>
      <c r="B76" s="113" t="s">
        <v>201</v>
      </c>
      <c r="C76" s="113" t="s">
        <v>159</v>
      </c>
      <c r="D76" s="120"/>
    </row>
    <row r="77" spans="1:4" ht="16.5" thickBot="1" x14ac:dyDescent="0.3">
      <c r="A77" s="114" t="s">
        <v>160</v>
      </c>
      <c r="B77" s="115" t="s">
        <v>201</v>
      </c>
      <c r="C77" s="135">
        <f>'Custo por trabalhador'!B434</f>
        <v>273.90594159642632</v>
      </c>
      <c r="D77" s="120"/>
    </row>
    <row r="78" spans="1:4" ht="16.5" thickBot="1" x14ac:dyDescent="0.3">
      <c r="A78" s="404" t="s">
        <v>184</v>
      </c>
      <c r="B78" s="405"/>
      <c r="C78" s="138">
        <f>SUM(C77:C77)</f>
        <v>273.90594159642632</v>
      </c>
      <c r="D78" s="120"/>
    </row>
    <row r="79" spans="1:4" ht="15.75" x14ac:dyDescent="0.25">
      <c r="A79" s="120"/>
      <c r="B79" s="120"/>
      <c r="C79" s="120"/>
      <c r="D79" s="120"/>
    </row>
    <row r="80" spans="1:4" ht="15.75" x14ac:dyDescent="0.25">
      <c r="A80" s="403" t="s">
        <v>202</v>
      </c>
      <c r="B80" s="403"/>
      <c r="C80" s="403"/>
      <c r="D80" s="120"/>
    </row>
    <row r="81" spans="1:4" ht="16.5" thickBot="1" x14ac:dyDescent="0.3">
      <c r="A81" s="28"/>
      <c r="B81" s="120"/>
      <c r="C81" s="120"/>
      <c r="D81" s="120"/>
    </row>
    <row r="82" spans="1:4" ht="16.5" thickBot="1" x14ac:dyDescent="0.3">
      <c r="A82" s="112" t="s">
        <v>203</v>
      </c>
      <c r="B82" s="113" t="s">
        <v>204</v>
      </c>
      <c r="C82" s="113" t="s">
        <v>159</v>
      </c>
      <c r="D82" s="120"/>
    </row>
    <row r="83" spans="1:4" ht="16.5" thickBot="1" x14ac:dyDescent="0.3">
      <c r="A83" s="114" t="s">
        <v>160</v>
      </c>
      <c r="B83" s="115" t="s">
        <v>227</v>
      </c>
      <c r="C83" s="135">
        <f>'Custo por trabalhador'!C434</f>
        <v>309.52471419731143</v>
      </c>
      <c r="D83" s="120"/>
    </row>
    <row r="84" spans="1:4" ht="16.5" thickBot="1" x14ac:dyDescent="0.3">
      <c r="A84" s="404" t="s">
        <v>12</v>
      </c>
      <c r="B84" s="405"/>
      <c r="C84" s="137">
        <f>SUM(C83)</f>
        <v>309.52471419731143</v>
      </c>
      <c r="D84" s="120"/>
    </row>
    <row r="85" spans="1:4" ht="15.75" x14ac:dyDescent="0.25">
      <c r="A85" s="120"/>
      <c r="B85" s="120"/>
      <c r="C85" s="120"/>
      <c r="D85" s="120"/>
    </row>
    <row r="86" spans="1:4" ht="15.75" x14ac:dyDescent="0.25">
      <c r="A86" s="403" t="s">
        <v>205</v>
      </c>
      <c r="B86" s="403"/>
      <c r="C86" s="403"/>
      <c r="D86" s="120"/>
    </row>
    <row r="87" spans="1:4" ht="16.5" thickBot="1" x14ac:dyDescent="0.3">
      <c r="A87" s="28"/>
      <c r="B87" s="120"/>
      <c r="C87" s="120"/>
      <c r="D87" s="120"/>
    </row>
    <row r="88" spans="1:4" ht="16.5" thickBot="1" x14ac:dyDescent="0.3">
      <c r="A88" s="112">
        <v>4</v>
      </c>
      <c r="B88" s="113" t="s">
        <v>206</v>
      </c>
      <c r="C88" s="113" t="s">
        <v>159</v>
      </c>
      <c r="D88" s="120"/>
    </row>
    <row r="89" spans="1:4" ht="16.5" thickBot="1" x14ac:dyDescent="0.3">
      <c r="A89" s="114" t="s">
        <v>200</v>
      </c>
      <c r="B89" s="115" t="s">
        <v>201</v>
      </c>
      <c r="C89" s="136">
        <f>'Custo por trabalhador'!B434</f>
        <v>273.90594159642632</v>
      </c>
      <c r="D89" s="120"/>
    </row>
    <row r="90" spans="1:4" ht="16.5" thickBot="1" x14ac:dyDescent="0.3">
      <c r="A90" s="114" t="s">
        <v>203</v>
      </c>
      <c r="B90" s="115" t="s">
        <v>204</v>
      </c>
      <c r="C90" s="136">
        <f>'Custo por trabalhador'!C434</f>
        <v>309.52471419731143</v>
      </c>
      <c r="D90" s="120"/>
    </row>
    <row r="91" spans="1:4" ht="16.5" thickBot="1" x14ac:dyDescent="0.3">
      <c r="A91" s="404" t="s">
        <v>12</v>
      </c>
      <c r="B91" s="405"/>
      <c r="C91" s="137">
        <f>SUM(C89:C90)</f>
        <v>583.43065579373774</v>
      </c>
      <c r="D91" s="120"/>
    </row>
    <row r="92" spans="1:4" ht="15.75" x14ac:dyDescent="0.25">
      <c r="A92" s="120"/>
      <c r="B92" s="120"/>
      <c r="C92" s="120"/>
      <c r="D92" s="120"/>
    </row>
    <row r="93" spans="1:4" ht="15.75" x14ac:dyDescent="0.25">
      <c r="A93" s="383" t="s">
        <v>207</v>
      </c>
      <c r="B93" s="383"/>
      <c r="C93" s="383"/>
      <c r="D93" s="120"/>
    </row>
    <row r="94" spans="1:4" ht="16.5" thickBot="1" x14ac:dyDescent="0.3">
      <c r="A94" s="120"/>
      <c r="B94" s="120"/>
      <c r="C94" s="120"/>
      <c r="D94" s="120"/>
    </row>
    <row r="95" spans="1:4" ht="16.5" thickBot="1" x14ac:dyDescent="0.3">
      <c r="A95" s="112">
        <v>5</v>
      </c>
      <c r="B95" s="119" t="s">
        <v>120</v>
      </c>
      <c r="C95" s="113" t="s">
        <v>159</v>
      </c>
      <c r="D95" s="120"/>
    </row>
    <row r="96" spans="1:4" ht="16.5" thickBot="1" x14ac:dyDescent="0.3">
      <c r="A96" s="114" t="s">
        <v>160</v>
      </c>
      <c r="B96" s="115" t="s">
        <v>208</v>
      </c>
      <c r="C96" s="135">
        <f>'Custo por trabalhador'!B516</f>
        <v>256.16666666666669</v>
      </c>
      <c r="D96" s="120"/>
    </row>
    <row r="97" spans="1:4" ht="16.5" thickBot="1" x14ac:dyDescent="0.3">
      <c r="A97" s="114" t="s">
        <v>161</v>
      </c>
      <c r="B97" s="115" t="s">
        <v>209</v>
      </c>
      <c r="C97" s="135">
        <f>'Custo por trabalhador'!C516</f>
        <v>134.48625000000001</v>
      </c>
      <c r="D97" s="120"/>
    </row>
    <row r="98" spans="1:4" ht="16.5" thickBot="1" x14ac:dyDescent="0.3">
      <c r="A98" s="114" t="s">
        <v>162</v>
      </c>
      <c r="B98" s="115" t="s">
        <v>210</v>
      </c>
      <c r="C98" s="135">
        <f>'Custo por trabalhador'!D516</f>
        <v>154.17070833333332</v>
      </c>
      <c r="D98" s="120"/>
    </row>
    <row r="99" spans="1:4" ht="16.5" thickBot="1" x14ac:dyDescent="0.3">
      <c r="A99" s="114" t="s">
        <v>163</v>
      </c>
      <c r="B99" s="115" t="s">
        <v>257</v>
      </c>
      <c r="C99" s="135"/>
      <c r="D99" s="120"/>
    </row>
    <row r="100" spans="1:4" ht="16.5" thickBot="1" x14ac:dyDescent="0.3">
      <c r="A100" s="404" t="s">
        <v>184</v>
      </c>
      <c r="B100" s="405"/>
      <c r="C100" s="137">
        <f>SUM(C96:C99)</f>
        <v>544.82362499999999</v>
      </c>
      <c r="D100" s="120"/>
    </row>
    <row r="101" spans="1:4" ht="15.75" x14ac:dyDescent="0.25">
      <c r="A101" s="120"/>
      <c r="B101" s="120"/>
      <c r="C101" s="120"/>
      <c r="D101" s="120"/>
    </row>
    <row r="102" spans="1:4" ht="15.75" x14ac:dyDescent="0.25">
      <c r="A102" s="383" t="s">
        <v>211</v>
      </c>
      <c r="B102" s="383"/>
      <c r="C102" s="383"/>
      <c r="D102" s="120"/>
    </row>
    <row r="103" spans="1:4" ht="16.5" thickBot="1" x14ac:dyDescent="0.3">
      <c r="A103" s="120"/>
      <c r="B103" s="120"/>
      <c r="C103" s="120"/>
      <c r="D103" s="120"/>
    </row>
    <row r="104" spans="1:4" ht="16.5" thickBot="1" x14ac:dyDescent="0.3">
      <c r="A104" s="112">
        <v>6</v>
      </c>
      <c r="B104" s="119" t="s">
        <v>121</v>
      </c>
      <c r="C104" s="113" t="s">
        <v>177</v>
      </c>
      <c r="D104" s="113" t="s">
        <v>159</v>
      </c>
    </row>
    <row r="105" spans="1:4" ht="16.5" thickBot="1" x14ac:dyDescent="0.3">
      <c r="A105" s="114" t="s">
        <v>160</v>
      </c>
      <c r="B105" s="115" t="s">
        <v>138</v>
      </c>
      <c r="C105" s="117">
        <f>'Custo por trabalhador'!B524</f>
        <v>0.03</v>
      </c>
      <c r="D105" s="116"/>
    </row>
    <row r="106" spans="1:4" ht="16.5" thickBot="1" x14ac:dyDescent="0.3">
      <c r="A106" s="114" t="s">
        <v>161</v>
      </c>
      <c r="B106" s="115" t="s">
        <v>140</v>
      </c>
      <c r="C106" s="117">
        <f>'Custo por trabalhador'!B526</f>
        <v>3.2599999999999997E-2</v>
      </c>
      <c r="D106" s="116"/>
    </row>
    <row r="107" spans="1:4" ht="16.5" thickBot="1" x14ac:dyDescent="0.3">
      <c r="A107" s="114" t="s">
        <v>162</v>
      </c>
      <c r="B107" s="115" t="s">
        <v>139</v>
      </c>
      <c r="C107" s="117">
        <f>'Custo por trabalhador'!B525</f>
        <v>8.6499999999999994E-2</v>
      </c>
      <c r="D107" s="116"/>
    </row>
    <row r="108" spans="1:4" ht="16.5" thickBot="1" x14ac:dyDescent="0.3">
      <c r="A108" s="114"/>
      <c r="B108" s="115" t="s">
        <v>212</v>
      </c>
      <c r="C108" s="117"/>
      <c r="D108" s="116"/>
    </row>
    <row r="109" spans="1:4" ht="16.5" thickBot="1" x14ac:dyDescent="0.3">
      <c r="A109" s="114"/>
      <c r="B109" s="115" t="s">
        <v>213</v>
      </c>
      <c r="C109" s="117"/>
      <c r="D109" s="116"/>
    </row>
    <row r="110" spans="1:4" ht="16.5" thickBot="1" x14ac:dyDescent="0.3">
      <c r="A110" s="114"/>
      <c r="B110" s="115" t="s">
        <v>214</v>
      </c>
      <c r="C110" s="117"/>
      <c r="D110" s="116"/>
    </row>
    <row r="111" spans="1:4" ht="16.5" thickBot="1" x14ac:dyDescent="0.3">
      <c r="A111" s="404" t="s">
        <v>184</v>
      </c>
      <c r="B111" s="405"/>
      <c r="C111" s="144">
        <f>'Custo por trabalhador'!C530</f>
        <v>0.16925871268021342</v>
      </c>
      <c r="D111" s="138">
        <f>'Custo por trabalhador'!D532</f>
        <v>953.40005676045234</v>
      </c>
    </row>
    <row r="112" spans="1:4" ht="16.5" thickBot="1" x14ac:dyDescent="0.3">
      <c r="A112" s="120"/>
      <c r="B112" s="120"/>
      <c r="C112" s="120"/>
      <c r="D112" s="120"/>
    </row>
    <row r="113" spans="1:5" s="120" customFormat="1" ht="16.5" thickBot="1" x14ac:dyDescent="0.3">
      <c r="A113" s="345" t="s">
        <v>254</v>
      </c>
      <c r="B113" s="346"/>
      <c r="C113" s="347"/>
    </row>
    <row r="114" spans="1:5" s="120" customFormat="1" ht="16.5" thickBot="1" x14ac:dyDescent="0.3">
      <c r="A114" s="215" t="s">
        <v>160</v>
      </c>
      <c r="B114" s="216" t="s">
        <v>255</v>
      </c>
      <c r="C114" s="217">
        <f>'Custo por trabalhador'!D542</f>
        <v>479.73540123090811</v>
      </c>
    </row>
    <row r="115" spans="1:5" ht="15.75" x14ac:dyDescent="0.25">
      <c r="A115" s="120"/>
      <c r="B115" s="120"/>
      <c r="C115" s="120"/>
      <c r="D115" s="120"/>
    </row>
    <row r="116" spans="1:5" ht="15.75" x14ac:dyDescent="0.25">
      <c r="A116" s="383" t="s">
        <v>215</v>
      </c>
      <c r="B116" s="383"/>
      <c r="C116" s="383"/>
      <c r="D116" s="120"/>
    </row>
    <row r="117" spans="1:5" ht="16.5" thickBot="1" x14ac:dyDescent="0.3">
      <c r="A117" s="120"/>
      <c r="B117" s="120"/>
      <c r="C117" s="120"/>
      <c r="D117" s="120"/>
    </row>
    <row r="118" spans="1:5" ht="16.5" thickBot="1" x14ac:dyDescent="0.3">
      <c r="A118" s="112"/>
      <c r="B118" s="113" t="s">
        <v>216</v>
      </c>
      <c r="C118" s="113" t="s">
        <v>159</v>
      </c>
      <c r="D118" s="120"/>
    </row>
    <row r="119" spans="1:5" ht="16.5" thickBot="1" x14ac:dyDescent="0.3">
      <c r="A119" s="121" t="s">
        <v>160</v>
      </c>
      <c r="B119" s="115" t="s">
        <v>157</v>
      </c>
      <c r="C119" s="139">
        <f>'Custo por trabalhador'!D550</f>
        <v>2492.9184500000001</v>
      </c>
      <c r="D119" s="120"/>
    </row>
    <row r="120" spans="1:5" ht="16.5" thickBot="1" x14ac:dyDescent="0.3">
      <c r="A120" s="121" t="s">
        <v>161</v>
      </c>
      <c r="B120" s="115" t="s">
        <v>168</v>
      </c>
      <c r="C120" s="139">
        <f>'Custo por trabalhador'!D551</f>
        <v>2293.6626750916671</v>
      </c>
      <c r="D120" s="120"/>
    </row>
    <row r="121" spans="1:5" ht="16.5" thickBot="1" x14ac:dyDescent="0.3">
      <c r="A121" s="121" t="s">
        <v>162</v>
      </c>
      <c r="B121" s="115" t="s">
        <v>190</v>
      </c>
      <c r="C121" s="139">
        <f>'Custo por trabalhador'!D552</f>
        <v>108.6150292271539</v>
      </c>
      <c r="D121" s="120"/>
    </row>
    <row r="122" spans="1:5" ht="16.5" thickBot="1" x14ac:dyDescent="0.3">
      <c r="A122" s="121" t="s">
        <v>163</v>
      </c>
      <c r="B122" s="115" t="s">
        <v>198</v>
      </c>
      <c r="C122" s="139">
        <f>'Custo por trabalhador'!D553</f>
        <v>583.43065579373774</v>
      </c>
      <c r="D122" s="120"/>
    </row>
    <row r="123" spans="1:5" ht="16.5" thickBot="1" x14ac:dyDescent="0.3">
      <c r="A123" s="121" t="s">
        <v>164</v>
      </c>
      <c r="B123" s="115" t="s">
        <v>207</v>
      </c>
      <c r="C123" s="139">
        <f>'Custo por trabalhador'!D554</f>
        <v>544.82362499999999</v>
      </c>
      <c r="D123" s="120"/>
    </row>
    <row r="124" spans="1:5" ht="16.5" customHeight="1" thickBot="1" x14ac:dyDescent="0.3">
      <c r="A124" s="404" t="s">
        <v>217</v>
      </c>
      <c r="B124" s="405"/>
      <c r="C124" s="140">
        <f>ROUND(SUM(C119:C123),(2))</f>
        <v>6023.45</v>
      </c>
      <c r="D124" s="120"/>
    </row>
    <row r="125" spans="1:5" s="120" customFormat="1" ht="16.5" thickBot="1" x14ac:dyDescent="0.3">
      <c r="A125" s="133" t="s">
        <v>165</v>
      </c>
      <c r="B125" s="134" t="s">
        <v>218</v>
      </c>
      <c r="C125" s="141">
        <f>'Custo por trabalhador'!D555</f>
        <v>953.40005676045234</v>
      </c>
    </row>
    <row r="126" spans="1:5" s="120" customFormat="1" ht="16.5" thickBot="1" x14ac:dyDescent="0.3">
      <c r="A126" s="133" t="s">
        <v>166</v>
      </c>
      <c r="B126" s="134" t="s">
        <v>255</v>
      </c>
      <c r="C126" s="141">
        <f>'Custo por trabalhador'!D556</f>
        <v>479.73540123090811</v>
      </c>
    </row>
    <row r="127" spans="1:5" s="120" customFormat="1" ht="16.5" thickBot="1" x14ac:dyDescent="0.3">
      <c r="A127" s="397" t="s">
        <v>219</v>
      </c>
      <c r="B127" s="398"/>
      <c r="C127" s="145">
        <f>ROUND(SUM(C119:C123,C125:C126),(2))</f>
        <v>7456.59</v>
      </c>
      <c r="E127" s="142"/>
    </row>
    <row r="128" spans="1:5" s="120" customFormat="1" ht="16.5" thickBot="1" x14ac:dyDescent="0.3">
      <c r="A128" s="397" t="s">
        <v>239</v>
      </c>
      <c r="B128" s="398"/>
      <c r="C128" s="145">
        <f>ROUND(SUM(C127),(2))*2</f>
        <v>14913.18</v>
      </c>
    </row>
  </sheetData>
  <mergeCells count="34">
    <mergeCell ref="A27:B27"/>
    <mergeCell ref="A1:D1"/>
    <mergeCell ref="A2:D2"/>
    <mergeCell ref="A3:D3"/>
    <mergeCell ref="A8:C8"/>
    <mergeCell ref="A18:B18"/>
    <mergeCell ref="A5:C5"/>
    <mergeCell ref="A6:C6"/>
    <mergeCell ref="A124:B124"/>
    <mergeCell ref="A70:B70"/>
    <mergeCell ref="A127:B127"/>
    <mergeCell ref="A128:B128"/>
    <mergeCell ref="A20:C20"/>
    <mergeCell ref="A49:B49"/>
    <mergeCell ref="A51:C51"/>
    <mergeCell ref="A116:C116"/>
    <mergeCell ref="A74:C74"/>
    <mergeCell ref="A78:B78"/>
    <mergeCell ref="A84:B84"/>
    <mergeCell ref="A86:C86"/>
    <mergeCell ref="A91:B91"/>
    <mergeCell ref="A93:C93"/>
    <mergeCell ref="A100:B100"/>
    <mergeCell ref="A22:C22"/>
    <mergeCell ref="A113:C113"/>
    <mergeCell ref="A29:D29"/>
    <mergeCell ref="A40:B40"/>
    <mergeCell ref="A42:C42"/>
    <mergeCell ref="A57:B57"/>
    <mergeCell ref="A59:C59"/>
    <mergeCell ref="A72:C72"/>
    <mergeCell ref="A102:C102"/>
    <mergeCell ref="A111:B111"/>
    <mergeCell ref="A80:C8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1ED08E-871A-49F0-A565-71E7E1792385}">
  <dimension ref="A1:H128"/>
  <sheetViews>
    <sheetView zoomScale="115" zoomScaleNormal="115" workbookViewId="0">
      <selection activeCell="C14" sqref="C14"/>
    </sheetView>
  </sheetViews>
  <sheetFormatPr defaultRowHeight="15" x14ac:dyDescent="0.25"/>
  <cols>
    <col min="2" max="2" width="79.85546875" customWidth="1"/>
    <col min="3" max="3" width="18" customWidth="1"/>
    <col min="4" max="4" width="14.28515625" customWidth="1"/>
  </cols>
  <sheetData>
    <row r="1" spans="1:8" ht="23.25" x14ac:dyDescent="0.35">
      <c r="A1" s="374" t="s">
        <v>220</v>
      </c>
      <c r="B1" s="374"/>
      <c r="C1" s="374"/>
      <c r="D1" s="374"/>
    </row>
    <row r="2" spans="1:8" ht="23.25" x14ac:dyDescent="0.35">
      <c r="A2" s="374" t="s">
        <v>221</v>
      </c>
      <c r="B2" s="374"/>
      <c r="C2" s="374"/>
      <c r="D2" s="374"/>
      <c r="E2" s="374"/>
      <c r="F2" s="374"/>
      <c r="G2" s="374"/>
      <c r="H2" s="374"/>
    </row>
    <row r="3" spans="1:8" ht="23.25" x14ac:dyDescent="0.35">
      <c r="A3" s="374" t="s">
        <v>366</v>
      </c>
      <c r="B3" s="374"/>
      <c r="C3" s="374"/>
      <c r="D3" s="374"/>
      <c r="E3" s="374"/>
      <c r="F3" s="374"/>
      <c r="G3" s="374"/>
      <c r="H3" s="374"/>
    </row>
    <row r="4" spans="1:8" ht="16.5" thickBot="1" x14ac:dyDescent="0.3">
      <c r="A4" s="143"/>
      <c r="B4" s="143"/>
      <c r="C4" s="143"/>
      <c r="D4" s="143"/>
    </row>
    <row r="5" spans="1:8" ht="16.5" thickBot="1" x14ac:dyDescent="0.3">
      <c r="A5" s="413" t="s">
        <v>240</v>
      </c>
      <c r="B5" s="414"/>
      <c r="C5" s="415"/>
      <c r="D5" s="143"/>
    </row>
    <row r="6" spans="1:8" ht="15.6" customHeight="1" thickBot="1" x14ac:dyDescent="0.3">
      <c r="A6" s="419" t="s">
        <v>231</v>
      </c>
      <c r="B6" s="420"/>
      <c r="C6" s="421"/>
      <c r="D6" s="143"/>
    </row>
    <row r="7" spans="1:8" ht="15.75" x14ac:dyDescent="0.25">
      <c r="A7" s="120"/>
      <c r="B7" s="120"/>
      <c r="C7" s="120"/>
      <c r="D7" s="120"/>
    </row>
    <row r="8" spans="1:8" ht="15.75" x14ac:dyDescent="0.25">
      <c r="A8" s="383" t="s">
        <v>157</v>
      </c>
      <c r="B8" s="383"/>
      <c r="C8" s="383"/>
      <c r="D8" s="120"/>
    </row>
    <row r="9" spans="1:8" ht="16.5" thickBot="1" x14ac:dyDescent="0.3">
      <c r="A9" s="120"/>
      <c r="B9" s="120"/>
      <c r="C9" s="120"/>
      <c r="D9" s="120"/>
    </row>
    <row r="10" spans="1:8" ht="20.100000000000001" customHeight="1" thickBot="1" x14ac:dyDescent="0.3">
      <c r="A10" s="112">
        <v>1</v>
      </c>
      <c r="B10" s="113" t="s">
        <v>158</v>
      </c>
      <c r="C10" s="113" t="s">
        <v>159</v>
      </c>
      <c r="D10" s="120"/>
    </row>
    <row r="11" spans="1:8" ht="20.100000000000001" customHeight="1" thickBot="1" x14ac:dyDescent="0.3">
      <c r="A11" s="114" t="s">
        <v>160</v>
      </c>
      <c r="B11" s="115" t="str">
        <f>'Custo por trabalhador'!B68</f>
        <v>Salário Base - Cláusula 3ª, CCT 2024/2026</v>
      </c>
      <c r="C11" s="135">
        <f>'Custo por trabalhador'!B72</f>
        <v>1733.93</v>
      </c>
      <c r="D11" s="120"/>
    </row>
    <row r="12" spans="1:8" ht="20.100000000000001" customHeight="1" thickBot="1" x14ac:dyDescent="0.3">
      <c r="A12" s="114" t="s">
        <v>161</v>
      </c>
      <c r="B12" s="115" t="str">
        <f>'Custo por trabalhador'!C68</f>
        <v xml:space="preserve">Gratificação de Função e Adicional -  Cláusula 12ª CCT 2024/2026, § 1º, Alínea a </v>
      </c>
      <c r="C12" s="135">
        <f>'Custo por trabalhador'!C72</f>
        <v>0</v>
      </c>
      <c r="D12" s="120"/>
    </row>
    <row r="13" spans="1:8" ht="20.100000000000001" customHeight="1" thickBot="1" x14ac:dyDescent="0.3">
      <c r="A13" s="114" t="s">
        <v>162</v>
      </c>
      <c r="B13" s="115" t="str">
        <f>'Custo por trabalhador'!D68</f>
        <v xml:space="preserve">Gratificação de Função e Adicional -  Cláusula 12ª CCT 2024/2026, § 2º, Alínea a </v>
      </c>
      <c r="C13" s="135">
        <f>'Custo por trabalhador'!D72</f>
        <v>208.07159999999999</v>
      </c>
      <c r="D13" s="120"/>
    </row>
    <row r="14" spans="1:8" ht="20.100000000000001" customHeight="1" thickBot="1" x14ac:dyDescent="0.3">
      <c r="A14" s="114" t="s">
        <v>163</v>
      </c>
      <c r="B14" s="115" t="str">
        <f>'Custo por trabalhador'!E68</f>
        <v>Adicional de   Periculosidade   - Cláusula 14º CCT 2024/2026</v>
      </c>
      <c r="C14" s="135">
        <f>'Custo por trabalhador'!E72</f>
        <v>520.17899999999997</v>
      </c>
      <c r="D14" s="120"/>
    </row>
    <row r="15" spans="1:8" ht="20.100000000000001" customHeight="1" thickBot="1" x14ac:dyDescent="0.3">
      <c r="A15" s="114" t="s">
        <v>164</v>
      </c>
      <c r="B15" s="115" t="str">
        <f>'Custo por trabalhador'!F68</f>
        <v>Adicional Noturno - Cláusula 13ª CCT 2024/2026</v>
      </c>
      <c r="C15" s="135">
        <f>'Custo por trabalhador'!F72</f>
        <v>375.68483333333336</v>
      </c>
      <c r="D15" s="120"/>
    </row>
    <row r="16" spans="1:8" ht="20.100000000000001" customHeight="1" thickBot="1" x14ac:dyDescent="0.3">
      <c r="A16" s="114" t="s">
        <v>165</v>
      </c>
      <c r="B16" s="115" t="str">
        <f>'Custo por trabalhador'!G68</f>
        <v>Adicional - Clausula 31º, § 4º - CCT 2024/2026</v>
      </c>
      <c r="C16" s="135">
        <f>'Custo por trabalhador'!G72</f>
        <v>35.860824999999998</v>
      </c>
      <c r="D16" s="120"/>
    </row>
    <row r="17" spans="1:4" ht="20.100000000000001" customHeight="1" thickBot="1" x14ac:dyDescent="0.3">
      <c r="A17" s="114"/>
      <c r="B17" s="115"/>
      <c r="C17" s="135"/>
      <c r="D17" s="120"/>
    </row>
    <row r="18" spans="1:4" ht="20.100000000000001" customHeight="1" thickBot="1" x14ac:dyDescent="0.3">
      <c r="A18" s="404" t="s">
        <v>12</v>
      </c>
      <c r="B18" s="405"/>
      <c r="C18" s="138">
        <f>SUM(C11:C17)</f>
        <v>2873.7262583333336</v>
      </c>
      <c r="D18" s="120"/>
    </row>
    <row r="19" spans="1:4" ht="15.75" x14ac:dyDescent="0.25">
      <c r="A19" s="120"/>
      <c r="B19" s="120"/>
      <c r="C19" s="120"/>
      <c r="D19" s="120"/>
    </row>
    <row r="20" spans="1:4" ht="15.75" x14ac:dyDescent="0.25">
      <c r="A20" s="383" t="s">
        <v>168</v>
      </c>
      <c r="B20" s="383"/>
      <c r="C20" s="383"/>
      <c r="D20" s="120"/>
    </row>
    <row r="21" spans="1:4" ht="15.75" x14ac:dyDescent="0.25">
      <c r="A21" s="28"/>
      <c r="B21" s="120"/>
      <c r="C21" s="120"/>
      <c r="D21" s="120"/>
    </row>
    <row r="22" spans="1:4" ht="15.75" x14ac:dyDescent="0.25">
      <c r="A22" s="403" t="s">
        <v>169</v>
      </c>
      <c r="B22" s="403"/>
      <c r="C22" s="403"/>
      <c r="D22" s="120"/>
    </row>
    <row r="23" spans="1:4" ht="16.5" thickBot="1" x14ac:dyDescent="0.3">
      <c r="A23" s="120"/>
      <c r="B23" s="120"/>
      <c r="C23" s="120"/>
      <c r="D23" s="120"/>
    </row>
    <row r="24" spans="1:4" ht="16.5" thickBot="1" x14ac:dyDescent="0.3">
      <c r="A24" s="112" t="s">
        <v>170</v>
      </c>
      <c r="B24" s="113" t="s">
        <v>171</v>
      </c>
      <c r="C24" s="113" t="s">
        <v>159</v>
      </c>
      <c r="D24" s="120"/>
    </row>
    <row r="25" spans="1:4" ht="16.5" thickBot="1" x14ac:dyDescent="0.3">
      <c r="A25" s="114" t="s">
        <v>160</v>
      </c>
      <c r="B25" s="115" t="s">
        <v>172</v>
      </c>
      <c r="C25" s="135">
        <f>'Custo por trabalhador'!B112</f>
        <v>239.47718819444447</v>
      </c>
      <c r="D25" s="120"/>
    </row>
    <row r="26" spans="1:4" ht="16.5" thickBot="1" x14ac:dyDescent="0.3">
      <c r="A26" s="114" t="s">
        <v>161</v>
      </c>
      <c r="B26" s="115" t="s">
        <v>173</v>
      </c>
      <c r="C26" s="135">
        <f>'Custo por trabalhador'!C112+'Custo por trabalhador'!D112</f>
        <v>287.56893356481481</v>
      </c>
      <c r="D26" s="120"/>
    </row>
    <row r="27" spans="1:4" ht="16.5" thickBot="1" x14ac:dyDescent="0.3">
      <c r="A27" s="404" t="s">
        <v>12</v>
      </c>
      <c r="B27" s="405"/>
      <c r="C27" s="138">
        <f>SUM(C25:C26)</f>
        <v>527.04612175925922</v>
      </c>
      <c r="D27" s="120"/>
    </row>
    <row r="28" spans="1:4" ht="15.75" x14ac:dyDescent="0.25">
      <c r="A28" s="120"/>
      <c r="B28" s="120"/>
      <c r="C28" s="120"/>
      <c r="D28" s="120"/>
    </row>
    <row r="29" spans="1:4" ht="15.75" customHeight="1" x14ac:dyDescent="0.25">
      <c r="A29" s="406" t="s">
        <v>174</v>
      </c>
      <c r="B29" s="406"/>
      <c r="C29" s="406"/>
      <c r="D29" s="406"/>
    </row>
    <row r="30" spans="1:4" ht="16.5" thickBot="1" x14ac:dyDescent="0.3">
      <c r="A30" s="120"/>
      <c r="B30" s="120"/>
      <c r="C30" s="120"/>
      <c r="D30" s="120"/>
    </row>
    <row r="31" spans="1:4" ht="16.5" thickBot="1" x14ac:dyDescent="0.3">
      <c r="A31" s="112" t="s">
        <v>175</v>
      </c>
      <c r="B31" s="113" t="s">
        <v>176</v>
      </c>
      <c r="C31" s="253" t="s">
        <v>177</v>
      </c>
      <c r="D31" s="113" t="s">
        <v>159</v>
      </c>
    </row>
    <row r="32" spans="1:4" ht="16.5" thickBot="1" x14ac:dyDescent="0.3">
      <c r="A32" s="114" t="s">
        <v>160</v>
      </c>
      <c r="B32" s="115" t="s">
        <v>178</v>
      </c>
      <c r="C32" s="254">
        <f>'Custo por trabalhador'!B121</f>
        <v>0.2</v>
      </c>
      <c r="D32" s="135">
        <f t="shared" ref="D32:D39" si="0">($C$18+$C$27)*C32</f>
        <v>680.15447601851861</v>
      </c>
    </row>
    <row r="33" spans="1:4" ht="16.5" thickBot="1" x14ac:dyDescent="0.3">
      <c r="A33" s="114" t="s">
        <v>161</v>
      </c>
      <c r="B33" s="115" t="s">
        <v>179</v>
      </c>
      <c r="C33" s="254">
        <f>'Custo por trabalhador'!B122</f>
        <v>2.5000000000000001E-2</v>
      </c>
      <c r="D33" s="135">
        <f t="shared" si="0"/>
        <v>85.019309502314826</v>
      </c>
    </row>
    <row r="34" spans="1:4" ht="16.5" thickBot="1" x14ac:dyDescent="0.3">
      <c r="A34" s="114" t="s">
        <v>162</v>
      </c>
      <c r="B34" s="115" t="s">
        <v>180</v>
      </c>
      <c r="C34" s="118">
        <f>'Custo por trabalhador'!B123</f>
        <v>0.06</v>
      </c>
      <c r="D34" s="135">
        <f t="shared" si="0"/>
        <v>204.04634280555555</v>
      </c>
    </row>
    <row r="35" spans="1:4" ht="16.5" thickBot="1" x14ac:dyDescent="0.3">
      <c r="A35" s="114" t="s">
        <v>163</v>
      </c>
      <c r="B35" s="115" t="s">
        <v>181</v>
      </c>
      <c r="C35" s="254">
        <f>'Custo por trabalhador'!B124</f>
        <v>1.4999999999999999E-2</v>
      </c>
      <c r="D35" s="135">
        <f t="shared" si="0"/>
        <v>51.011585701388888</v>
      </c>
    </row>
    <row r="36" spans="1:4" ht="16.5" thickBot="1" x14ac:dyDescent="0.3">
      <c r="A36" s="114" t="s">
        <v>164</v>
      </c>
      <c r="B36" s="115" t="s">
        <v>182</v>
      </c>
      <c r="C36" s="254">
        <f>'Custo por trabalhador'!B125</f>
        <v>0.01</v>
      </c>
      <c r="D36" s="135">
        <f t="shared" si="0"/>
        <v>34.00772380092593</v>
      </c>
    </row>
    <row r="37" spans="1:4" ht="16.5" thickBot="1" x14ac:dyDescent="0.3">
      <c r="A37" s="114" t="s">
        <v>165</v>
      </c>
      <c r="B37" s="115" t="s">
        <v>25</v>
      </c>
      <c r="C37" s="254">
        <f>'Custo por trabalhador'!B126</f>
        <v>6.0000000000000001E-3</v>
      </c>
      <c r="D37" s="135">
        <f t="shared" si="0"/>
        <v>20.404634280555559</v>
      </c>
    </row>
    <row r="38" spans="1:4" ht="16.5" thickBot="1" x14ac:dyDescent="0.3">
      <c r="A38" s="114" t="s">
        <v>166</v>
      </c>
      <c r="B38" s="115" t="s">
        <v>26</v>
      </c>
      <c r="C38" s="254">
        <f>'Custo por trabalhador'!B127</f>
        <v>2E-3</v>
      </c>
      <c r="D38" s="135">
        <f t="shared" si="0"/>
        <v>6.8015447601851857</v>
      </c>
    </row>
    <row r="39" spans="1:4" ht="16.5" thickBot="1" x14ac:dyDescent="0.3">
      <c r="A39" s="114" t="s">
        <v>183</v>
      </c>
      <c r="B39" s="115" t="s">
        <v>27</v>
      </c>
      <c r="C39" s="254">
        <f>'Custo por trabalhador'!B128</f>
        <v>0.08</v>
      </c>
      <c r="D39" s="135">
        <f t="shared" si="0"/>
        <v>272.06179040740744</v>
      </c>
    </row>
    <row r="40" spans="1:4" ht="16.5" thickBot="1" x14ac:dyDescent="0.3">
      <c r="A40" s="404" t="s">
        <v>184</v>
      </c>
      <c r="B40" s="405"/>
      <c r="C40" s="144">
        <f>'Custo por trabalhador'!B129</f>
        <v>0.39800000000000008</v>
      </c>
      <c r="D40" s="138">
        <f>SUM(D32:D39)</f>
        <v>1353.5074072768518</v>
      </c>
    </row>
    <row r="41" spans="1:4" ht="15.75" x14ac:dyDescent="0.25">
      <c r="A41" s="120"/>
      <c r="B41" s="120"/>
      <c r="C41" s="120"/>
      <c r="D41" s="120"/>
    </row>
    <row r="42" spans="1:4" ht="15.75" x14ac:dyDescent="0.25">
      <c r="A42" s="403" t="s">
        <v>185</v>
      </c>
      <c r="B42" s="403"/>
      <c r="C42" s="403"/>
      <c r="D42" s="120"/>
    </row>
    <row r="43" spans="1:4" ht="16.5" thickBot="1" x14ac:dyDescent="0.3">
      <c r="A43" s="120"/>
      <c r="B43" s="120"/>
      <c r="C43" s="120"/>
      <c r="D43" s="120"/>
    </row>
    <row r="44" spans="1:4" ht="16.5" thickBot="1" x14ac:dyDescent="0.3">
      <c r="A44" s="112" t="s">
        <v>186</v>
      </c>
      <c r="B44" s="113" t="s">
        <v>187</v>
      </c>
      <c r="C44" s="113" t="s">
        <v>159</v>
      </c>
      <c r="D44" s="120"/>
    </row>
    <row r="45" spans="1:4" ht="16.5" thickBot="1" x14ac:dyDescent="0.3">
      <c r="A45" s="114" t="s">
        <v>160</v>
      </c>
      <c r="B45" s="115" t="str">
        <f>'Custo por trabalhador'!B241</f>
        <v>Vale Transporte - Cláusula 16ª CCT 2024/2026</v>
      </c>
      <c r="C45" s="135">
        <f>'Custo por trabalhador'!B246</f>
        <v>67.982100000000003</v>
      </c>
      <c r="D45" s="120"/>
    </row>
    <row r="46" spans="1:4" ht="16.5" thickBot="1" x14ac:dyDescent="0.3">
      <c r="A46" s="114" t="s">
        <v>161</v>
      </c>
      <c r="B46" s="115" t="str">
        <f>'Custo por trabalhador'!C241</f>
        <v>Vale Refeição - Cláusula 15ª CCT 2024/2026</v>
      </c>
      <c r="C46" s="135">
        <f>'Custo por trabalhador'!C246</f>
        <v>471.96069999999997</v>
      </c>
      <c r="D46" s="120"/>
    </row>
    <row r="47" spans="1:4" ht="16.5" thickBot="1" x14ac:dyDescent="0.3">
      <c r="A47" s="114" t="s">
        <v>162</v>
      </c>
      <c r="B47" s="115" t="str">
        <f>'Custo por trabalhador'!D241</f>
        <v xml:space="preserve"> Card Saúde- Abraps Bombank - Clausula 58º CCT 2024/2026</v>
      </c>
      <c r="C47" s="135">
        <f>'Custo por trabalhador'!D246</f>
        <v>83.88</v>
      </c>
      <c r="D47" s="120"/>
    </row>
    <row r="48" spans="1:4" ht="16.5" thickBot="1" x14ac:dyDescent="0.3">
      <c r="A48" s="114" t="s">
        <v>163</v>
      </c>
      <c r="B48" s="115" t="s">
        <v>167</v>
      </c>
      <c r="C48" s="135">
        <f>'Custo por trabalhador'!E246</f>
        <v>0</v>
      </c>
      <c r="D48" s="120"/>
    </row>
    <row r="49" spans="1:4" ht="16.5" thickBot="1" x14ac:dyDescent="0.3">
      <c r="A49" s="404" t="s">
        <v>12</v>
      </c>
      <c r="B49" s="405"/>
      <c r="C49" s="138">
        <f>SUM(C45:C48)</f>
        <v>623.82280000000003</v>
      </c>
      <c r="D49" s="120"/>
    </row>
    <row r="50" spans="1:4" ht="15.75" x14ac:dyDescent="0.25">
      <c r="A50" s="120"/>
      <c r="B50" s="120"/>
      <c r="C50" s="120"/>
      <c r="D50" s="120"/>
    </row>
    <row r="51" spans="1:4" ht="15.75" x14ac:dyDescent="0.25">
      <c r="A51" s="403" t="s">
        <v>188</v>
      </c>
      <c r="B51" s="403"/>
      <c r="C51" s="403"/>
      <c r="D51" s="120"/>
    </row>
    <row r="52" spans="1:4" ht="16.5" thickBot="1" x14ac:dyDescent="0.3">
      <c r="A52" s="120"/>
      <c r="B52" s="120"/>
      <c r="C52" s="120"/>
      <c r="D52" s="120"/>
    </row>
    <row r="53" spans="1:4" ht="16.5" thickBot="1" x14ac:dyDescent="0.3">
      <c r="A53" s="112">
        <v>2</v>
      </c>
      <c r="B53" s="113" t="s">
        <v>189</v>
      </c>
      <c r="C53" s="113" t="s">
        <v>159</v>
      </c>
      <c r="D53" s="120"/>
    </row>
    <row r="54" spans="1:4" ht="16.5" thickBot="1" x14ac:dyDescent="0.3">
      <c r="A54" s="114" t="s">
        <v>170</v>
      </c>
      <c r="B54" s="115" t="s">
        <v>171</v>
      </c>
      <c r="C54" s="135">
        <f>'Custo por trabalhador'!B256</f>
        <v>527.04612175925922</v>
      </c>
      <c r="D54" s="120"/>
    </row>
    <row r="55" spans="1:4" ht="16.5" thickBot="1" x14ac:dyDescent="0.3">
      <c r="A55" s="114" t="s">
        <v>175</v>
      </c>
      <c r="B55" s="115" t="s">
        <v>176</v>
      </c>
      <c r="C55" s="135">
        <f>'Custo por trabalhador'!C256</f>
        <v>1353.5074072768521</v>
      </c>
      <c r="D55" s="120"/>
    </row>
    <row r="56" spans="1:4" ht="16.5" thickBot="1" x14ac:dyDescent="0.3">
      <c r="A56" s="114" t="s">
        <v>186</v>
      </c>
      <c r="B56" s="115" t="s">
        <v>187</v>
      </c>
      <c r="C56" s="135">
        <f>'Custo por trabalhador'!D256</f>
        <v>623.82280000000003</v>
      </c>
      <c r="D56" s="120"/>
    </row>
    <row r="57" spans="1:4" ht="16.5" thickBot="1" x14ac:dyDescent="0.3">
      <c r="A57" s="404" t="s">
        <v>12</v>
      </c>
      <c r="B57" s="405"/>
      <c r="C57" s="138">
        <f>SUM(C54:C56)</f>
        <v>2504.3763290361112</v>
      </c>
      <c r="D57" s="120"/>
    </row>
    <row r="58" spans="1:4" ht="15.75" x14ac:dyDescent="0.25">
      <c r="A58" s="120"/>
      <c r="B58" s="120"/>
      <c r="C58" s="120"/>
      <c r="D58" s="120"/>
    </row>
    <row r="59" spans="1:4" ht="15.75" x14ac:dyDescent="0.25">
      <c r="A59" s="383" t="s">
        <v>190</v>
      </c>
      <c r="B59" s="383"/>
      <c r="C59" s="383"/>
      <c r="D59" s="120"/>
    </row>
    <row r="60" spans="1:4" ht="16.5" thickBot="1" x14ac:dyDescent="0.3">
      <c r="A60" s="120"/>
      <c r="B60" s="120"/>
      <c r="C60" s="120"/>
      <c r="D60" s="120"/>
    </row>
    <row r="61" spans="1:4" s="120" customFormat="1" ht="16.5" thickBot="1" x14ac:dyDescent="0.3">
      <c r="A61" s="133">
        <v>3</v>
      </c>
      <c r="B61" s="193" t="s">
        <v>191</v>
      </c>
      <c r="C61" s="193" t="s">
        <v>159</v>
      </c>
      <c r="D61" s="193" t="s">
        <v>159</v>
      </c>
    </row>
    <row r="62" spans="1:4" s="120" customFormat="1" ht="15.75" x14ac:dyDescent="0.25">
      <c r="A62" s="40" t="s">
        <v>160</v>
      </c>
      <c r="B62" s="198" t="s">
        <v>192</v>
      </c>
      <c r="C62" s="199"/>
      <c r="D62" s="200">
        <f>'Custo por trabalhador'!B296</f>
        <v>3400.7723800925928</v>
      </c>
    </row>
    <row r="63" spans="1:4" s="120" customFormat="1" ht="15.75" x14ac:dyDescent="0.25">
      <c r="A63" s="23" t="s">
        <v>161</v>
      </c>
      <c r="B63" s="195" t="s">
        <v>193</v>
      </c>
      <c r="C63" s="197">
        <v>0.08</v>
      </c>
      <c r="D63" s="201">
        <f>'Custo por trabalhador'!C296</f>
        <v>272.06179040740744</v>
      </c>
    </row>
    <row r="64" spans="1:4" s="120" customFormat="1" ht="16.5" thickBot="1" x14ac:dyDescent="0.3">
      <c r="A64" s="24" t="s">
        <v>162</v>
      </c>
      <c r="B64" s="202" t="s">
        <v>194</v>
      </c>
      <c r="C64" s="221">
        <v>0.4</v>
      </c>
      <c r="D64" s="204">
        <f>'Custo por trabalhador'!D296</f>
        <v>108.82471616296299</v>
      </c>
    </row>
    <row r="65" spans="1:4" s="120" customFormat="1" ht="16.5" thickBot="1" x14ac:dyDescent="0.3">
      <c r="A65" s="208"/>
      <c r="B65" s="209" t="s">
        <v>252</v>
      </c>
      <c r="C65" s="226">
        <f>'Custo por trabalhador'!B265</f>
        <v>4.1999999999999997E-3</v>
      </c>
      <c r="D65" s="211">
        <f>'Custo por trabalhador'!F296</f>
        <v>15.882967323984444</v>
      </c>
    </row>
    <row r="66" spans="1:4" s="120" customFormat="1" ht="15.75" x14ac:dyDescent="0.25">
      <c r="A66" s="222" t="s">
        <v>163</v>
      </c>
      <c r="B66" s="223" t="s">
        <v>195</v>
      </c>
      <c r="C66" s="224"/>
      <c r="D66" s="225">
        <f>'Custo por trabalhador'!B325</f>
        <v>4024.5951800925927</v>
      </c>
    </row>
    <row r="67" spans="1:4" s="120" customFormat="1" ht="15.75" x14ac:dyDescent="0.25">
      <c r="A67" s="194" t="s">
        <v>164</v>
      </c>
      <c r="B67" s="195" t="s">
        <v>196</v>
      </c>
      <c r="C67" s="205">
        <f>C40</f>
        <v>0.39800000000000008</v>
      </c>
      <c r="D67" s="196">
        <f>'Custo por trabalhador'!C325</f>
        <v>1353.5074072768521</v>
      </c>
    </row>
    <row r="68" spans="1:4" s="120" customFormat="1" ht="16.5" thickBot="1" x14ac:dyDescent="0.3">
      <c r="A68" s="206" t="s">
        <v>165</v>
      </c>
      <c r="B68" s="202" t="s">
        <v>197</v>
      </c>
      <c r="C68" s="207">
        <v>0.4</v>
      </c>
      <c r="D68" s="203">
        <f>'Custo por trabalhador'!D325</f>
        <v>108.82471616296299</v>
      </c>
    </row>
    <row r="69" spans="1:4" s="120" customFormat="1" ht="16.5" thickBot="1" x14ac:dyDescent="0.3">
      <c r="A69" s="153"/>
      <c r="B69" s="209" t="s">
        <v>253</v>
      </c>
      <c r="C69" s="210">
        <f>'Custo por trabalhador'!B266</f>
        <v>1.9400000000000001E-2</v>
      </c>
      <c r="D69" s="211">
        <f>'Custo por trabalhador'!F325</f>
        <v>106.44638968852873</v>
      </c>
    </row>
    <row r="70" spans="1:4" s="120" customFormat="1" ht="16.5" thickBot="1" x14ac:dyDescent="0.3">
      <c r="A70" s="410" t="s">
        <v>12</v>
      </c>
      <c r="B70" s="411"/>
      <c r="C70" s="138"/>
      <c r="D70" s="138">
        <f>D65+D69</f>
        <v>122.32935701251317</v>
      </c>
    </row>
    <row r="71" spans="1:4" ht="15.75" x14ac:dyDescent="0.25">
      <c r="A71" s="120"/>
      <c r="B71" s="120"/>
      <c r="C71" s="120"/>
      <c r="D71" s="120"/>
    </row>
    <row r="72" spans="1:4" ht="15.75" x14ac:dyDescent="0.25">
      <c r="A72" s="383" t="s">
        <v>198</v>
      </c>
      <c r="B72" s="383"/>
      <c r="C72" s="383"/>
      <c r="D72" s="120"/>
    </row>
    <row r="73" spans="1:4" ht="15.75" x14ac:dyDescent="0.25">
      <c r="A73" s="120"/>
      <c r="B73" s="120"/>
      <c r="C73" s="120"/>
      <c r="D73" s="120"/>
    </row>
    <row r="74" spans="1:4" ht="15.75" x14ac:dyDescent="0.25">
      <c r="A74" s="403" t="s">
        <v>199</v>
      </c>
      <c r="B74" s="403"/>
      <c r="C74" s="403"/>
      <c r="D74" s="120"/>
    </row>
    <row r="75" spans="1:4" ht="16.5" thickBot="1" x14ac:dyDescent="0.3">
      <c r="A75" s="28"/>
      <c r="B75" s="120"/>
      <c r="C75" s="120"/>
      <c r="D75" s="120"/>
    </row>
    <row r="76" spans="1:4" ht="16.5" thickBot="1" x14ac:dyDescent="0.3">
      <c r="A76" s="112" t="s">
        <v>200</v>
      </c>
      <c r="B76" s="113" t="s">
        <v>201</v>
      </c>
      <c r="C76" s="113" t="s">
        <v>159</v>
      </c>
      <c r="D76" s="120"/>
    </row>
    <row r="77" spans="1:4" ht="16.5" thickBot="1" x14ac:dyDescent="0.3">
      <c r="A77" s="114" t="s">
        <v>160</v>
      </c>
      <c r="B77" s="115" t="s">
        <v>201</v>
      </c>
      <c r="C77" s="135">
        <f>'Custo por trabalhador'!B435</f>
        <v>307.77132180572443</v>
      </c>
      <c r="D77" s="120"/>
    </row>
    <row r="78" spans="1:4" ht="16.5" thickBot="1" x14ac:dyDescent="0.3">
      <c r="A78" s="404" t="s">
        <v>184</v>
      </c>
      <c r="B78" s="405"/>
      <c r="C78" s="138">
        <f>SUM(C77:C77)</f>
        <v>307.77132180572443</v>
      </c>
      <c r="D78" s="120"/>
    </row>
    <row r="79" spans="1:4" ht="15.75" x14ac:dyDescent="0.25">
      <c r="A79" s="120"/>
      <c r="B79" s="120"/>
      <c r="C79" s="120"/>
      <c r="D79" s="120"/>
    </row>
    <row r="80" spans="1:4" ht="15.75" x14ac:dyDescent="0.25">
      <c r="A80" s="403" t="s">
        <v>202</v>
      </c>
      <c r="B80" s="403"/>
      <c r="C80" s="403"/>
      <c r="D80" s="120"/>
    </row>
    <row r="81" spans="1:4" ht="16.5" thickBot="1" x14ac:dyDescent="0.3">
      <c r="A81" s="28"/>
      <c r="B81" s="120"/>
      <c r="C81" s="120"/>
      <c r="D81" s="120"/>
    </row>
    <row r="82" spans="1:4" ht="16.5" thickBot="1" x14ac:dyDescent="0.3">
      <c r="A82" s="112" t="s">
        <v>203</v>
      </c>
      <c r="B82" s="113" t="s">
        <v>204</v>
      </c>
      <c r="C82" s="113" t="s">
        <v>159</v>
      </c>
      <c r="D82" s="120"/>
    </row>
    <row r="83" spans="1:4" ht="16.5" thickBot="1" x14ac:dyDescent="0.3">
      <c r="A83" s="114" t="s">
        <v>160</v>
      </c>
      <c r="B83" s="115" t="s">
        <v>227</v>
      </c>
      <c r="C83" s="135">
        <f>'Custo por trabalhador'!C435</f>
        <v>353.88574653716637</v>
      </c>
      <c r="D83" s="120"/>
    </row>
    <row r="84" spans="1:4" ht="16.5" thickBot="1" x14ac:dyDescent="0.3">
      <c r="A84" s="404" t="s">
        <v>12</v>
      </c>
      <c r="B84" s="405"/>
      <c r="C84" s="138">
        <f>SUM(C83)</f>
        <v>353.88574653716637</v>
      </c>
      <c r="D84" s="120"/>
    </row>
    <row r="85" spans="1:4" ht="15.75" x14ac:dyDescent="0.25">
      <c r="A85" s="120"/>
      <c r="B85" s="120"/>
      <c r="C85" s="120"/>
      <c r="D85" s="120"/>
    </row>
    <row r="86" spans="1:4" ht="15.75" x14ac:dyDescent="0.25">
      <c r="A86" s="403" t="s">
        <v>205</v>
      </c>
      <c r="B86" s="403"/>
      <c r="C86" s="403"/>
      <c r="D86" s="120"/>
    </row>
    <row r="87" spans="1:4" ht="16.5" thickBot="1" x14ac:dyDescent="0.3">
      <c r="A87" s="28"/>
      <c r="B87" s="120"/>
      <c r="C87" s="120"/>
      <c r="D87" s="120"/>
    </row>
    <row r="88" spans="1:4" ht="16.5" thickBot="1" x14ac:dyDescent="0.3">
      <c r="A88" s="112">
        <v>4</v>
      </c>
      <c r="B88" s="113" t="s">
        <v>206</v>
      </c>
      <c r="C88" s="113" t="s">
        <v>159</v>
      </c>
      <c r="D88" s="120"/>
    </row>
    <row r="89" spans="1:4" ht="16.5" thickBot="1" x14ac:dyDescent="0.3">
      <c r="A89" s="114" t="s">
        <v>200</v>
      </c>
      <c r="B89" s="115" t="s">
        <v>201</v>
      </c>
      <c r="C89" s="136">
        <f>'Custo por trabalhador'!B435</f>
        <v>307.77132180572443</v>
      </c>
      <c r="D89" s="120"/>
    </row>
    <row r="90" spans="1:4" ht="16.5" thickBot="1" x14ac:dyDescent="0.3">
      <c r="A90" s="114" t="s">
        <v>203</v>
      </c>
      <c r="B90" s="115" t="s">
        <v>204</v>
      </c>
      <c r="C90" s="136">
        <f>'Custo por trabalhador'!C435</f>
        <v>353.88574653716637</v>
      </c>
      <c r="D90" s="120"/>
    </row>
    <row r="91" spans="1:4" ht="16.5" thickBot="1" x14ac:dyDescent="0.3">
      <c r="A91" s="404" t="s">
        <v>12</v>
      </c>
      <c r="B91" s="405"/>
      <c r="C91" s="137">
        <f>SUM(C89:C90)</f>
        <v>661.65706834289085</v>
      </c>
      <c r="D91" s="120"/>
    </row>
    <row r="92" spans="1:4" ht="15.75" x14ac:dyDescent="0.25">
      <c r="A92" s="120"/>
      <c r="B92" s="120"/>
      <c r="C92" s="120"/>
      <c r="D92" s="120"/>
    </row>
    <row r="93" spans="1:4" ht="15.75" x14ac:dyDescent="0.25">
      <c r="A93" s="383" t="s">
        <v>207</v>
      </c>
      <c r="B93" s="383"/>
      <c r="C93" s="383"/>
      <c r="D93" s="120"/>
    </row>
    <row r="94" spans="1:4" ht="16.5" thickBot="1" x14ac:dyDescent="0.3">
      <c r="A94" s="120"/>
      <c r="B94" s="120"/>
      <c r="C94" s="120"/>
      <c r="D94" s="120"/>
    </row>
    <row r="95" spans="1:4" ht="16.5" thickBot="1" x14ac:dyDescent="0.3">
      <c r="A95" s="112">
        <v>5</v>
      </c>
      <c r="B95" s="119" t="s">
        <v>120</v>
      </c>
      <c r="C95" s="113" t="s">
        <v>159</v>
      </c>
      <c r="D95" s="120"/>
    </row>
    <row r="96" spans="1:4" ht="16.5" thickBot="1" x14ac:dyDescent="0.3">
      <c r="A96" s="114" t="s">
        <v>160</v>
      </c>
      <c r="B96" s="115" t="s">
        <v>208</v>
      </c>
      <c r="C96" s="135">
        <f>'Custo por trabalhador'!B517</f>
        <v>256.16666666666669</v>
      </c>
      <c r="D96" s="120"/>
    </row>
    <row r="97" spans="1:4" ht="16.5" thickBot="1" x14ac:dyDescent="0.3">
      <c r="A97" s="114" t="s">
        <v>161</v>
      </c>
      <c r="B97" s="115" t="s">
        <v>209</v>
      </c>
      <c r="C97" s="135">
        <f>'Custo por trabalhador'!C517</f>
        <v>134.48625000000001</v>
      </c>
      <c r="D97" s="120"/>
    </row>
    <row r="98" spans="1:4" ht="16.5" thickBot="1" x14ac:dyDescent="0.3">
      <c r="A98" s="114" t="s">
        <v>162</v>
      </c>
      <c r="B98" s="115" t="s">
        <v>210</v>
      </c>
      <c r="C98" s="135">
        <f>'Custo por trabalhador'!D517</f>
        <v>154.17070833333332</v>
      </c>
      <c r="D98" s="120"/>
    </row>
    <row r="99" spans="1:4" ht="16.5" thickBot="1" x14ac:dyDescent="0.3">
      <c r="A99" s="114" t="s">
        <v>163</v>
      </c>
      <c r="B99" s="115" t="s">
        <v>257</v>
      </c>
      <c r="C99" s="135"/>
      <c r="D99" s="120"/>
    </row>
    <row r="100" spans="1:4" ht="16.5" thickBot="1" x14ac:dyDescent="0.3">
      <c r="A100" s="404" t="s">
        <v>184</v>
      </c>
      <c r="B100" s="405"/>
      <c r="C100" s="137">
        <f>SUM(C96:C99)</f>
        <v>544.82362499999999</v>
      </c>
      <c r="D100" s="120"/>
    </row>
    <row r="101" spans="1:4" ht="15.75" x14ac:dyDescent="0.25">
      <c r="A101" s="120"/>
      <c r="B101" s="120"/>
      <c r="C101" s="120"/>
      <c r="D101" s="120"/>
    </row>
    <row r="102" spans="1:4" ht="15.75" x14ac:dyDescent="0.25">
      <c r="A102" s="383" t="s">
        <v>211</v>
      </c>
      <c r="B102" s="383"/>
      <c r="C102" s="383"/>
      <c r="D102" s="120"/>
    </row>
    <row r="103" spans="1:4" ht="16.5" thickBot="1" x14ac:dyDescent="0.3">
      <c r="A103" s="120"/>
      <c r="B103" s="120"/>
      <c r="C103" s="120"/>
      <c r="D103" s="120"/>
    </row>
    <row r="104" spans="1:4" ht="16.5" thickBot="1" x14ac:dyDescent="0.3">
      <c r="A104" s="112">
        <v>6</v>
      </c>
      <c r="B104" s="119" t="s">
        <v>121</v>
      </c>
      <c r="C104" s="113" t="s">
        <v>177</v>
      </c>
      <c r="D104" s="113" t="s">
        <v>159</v>
      </c>
    </row>
    <row r="105" spans="1:4" ht="16.5" thickBot="1" x14ac:dyDescent="0.3">
      <c r="A105" s="114" t="s">
        <v>160</v>
      </c>
      <c r="B105" s="115" t="s">
        <v>138</v>
      </c>
      <c r="C105" s="117">
        <f>'Custo por trabalhador'!B524</f>
        <v>0.03</v>
      </c>
      <c r="D105" s="116"/>
    </row>
    <row r="106" spans="1:4" ht="16.5" thickBot="1" x14ac:dyDescent="0.3">
      <c r="A106" s="114" t="s">
        <v>161</v>
      </c>
      <c r="B106" s="115" t="s">
        <v>140</v>
      </c>
      <c r="C106" s="117">
        <f>'Custo por trabalhador'!B526</f>
        <v>3.2599999999999997E-2</v>
      </c>
      <c r="D106" s="116"/>
    </row>
    <row r="107" spans="1:4" ht="16.5" thickBot="1" x14ac:dyDescent="0.3">
      <c r="A107" s="114" t="s">
        <v>162</v>
      </c>
      <c r="B107" s="115" t="s">
        <v>139</v>
      </c>
      <c r="C107" s="117">
        <f>'Custo por trabalhador'!B525</f>
        <v>8.6499999999999994E-2</v>
      </c>
      <c r="D107" s="116"/>
    </row>
    <row r="108" spans="1:4" ht="16.5" thickBot="1" x14ac:dyDescent="0.3">
      <c r="A108" s="114"/>
      <c r="B108" s="115" t="s">
        <v>212</v>
      </c>
      <c r="C108" s="116"/>
      <c r="D108" s="116"/>
    </row>
    <row r="109" spans="1:4" ht="16.5" thickBot="1" x14ac:dyDescent="0.3">
      <c r="A109" s="114"/>
      <c r="B109" s="115" t="s">
        <v>213</v>
      </c>
      <c r="C109" s="116"/>
      <c r="D109" s="116"/>
    </row>
    <row r="110" spans="1:4" ht="16.5" thickBot="1" x14ac:dyDescent="0.3">
      <c r="A110" s="114"/>
      <c r="B110" s="115" t="s">
        <v>214</v>
      </c>
      <c r="C110" s="116"/>
      <c r="D110" s="116"/>
    </row>
    <row r="111" spans="1:4" ht="16.5" thickBot="1" x14ac:dyDescent="0.3">
      <c r="A111" s="404" t="s">
        <v>184</v>
      </c>
      <c r="B111" s="405"/>
      <c r="C111" s="144">
        <f>'Custo por trabalhador'!C531</f>
        <v>0.16925871268021342</v>
      </c>
      <c r="D111" s="138">
        <f>'Custo por trabalhador'!D533</f>
        <v>1069.081989340192</v>
      </c>
    </row>
    <row r="112" spans="1:4" ht="16.5" thickBot="1" x14ac:dyDescent="0.3">
      <c r="A112" s="120"/>
      <c r="B112" s="120"/>
      <c r="C112" s="120"/>
      <c r="D112" s="120"/>
    </row>
    <row r="113" spans="1:5" s="120" customFormat="1" ht="16.5" thickBot="1" x14ac:dyDescent="0.3">
      <c r="A113" s="345" t="s">
        <v>254</v>
      </c>
      <c r="B113" s="346"/>
      <c r="C113" s="347"/>
    </row>
    <row r="114" spans="1:5" s="120" customFormat="1" ht="16.5" thickBot="1" x14ac:dyDescent="0.3">
      <c r="A114" s="215" t="s">
        <v>160</v>
      </c>
      <c r="B114" s="216" t="s">
        <v>255</v>
      </c>
      <c r="C114" s="217">
        <f>'Custo por trabalhador'!D543</f>
        <v>548.26570671613001</v>
      </c>
    </row>
    <row r="115" spans="1:5" ht="15.75" x14ac:dyDescent="0.25">
      <c r="A115" s="120"/>
      <c r="B115" s="120"/>
      <c r="C115" s="120"/>
      <c r="D115" s="120"/>
    </row>
    <row r="116" spans="1:5" ht="15.75" x14ac:dyDescent="0.25">
      <c r="A116" s="383" t="s">
        <v>215</v>
      </c>
      <c r="B116" s="383"/>
      <c r="C116" s="383"/>
      <c r="D116" s="120"/>
    </row>
    <row r="117" spans="1:5" ht="16.5" thickBot="1" x14ac:dyDescent="0.3">
      <c r="A117" s="120"/>
      <c r="B117" s="120"/>
      <c r="C117" s="120"/>
      <c r="D117" s="120"/>
    </row>
    <row r="118" spans="1:5" ht="16.5" thickBot="1" x14ac:dyDescent="0.3">
      <c r="A118" s="112"/>
      <c r="B118" s="113" t="s">
        <v>216</v>
      </c>
      <c r="C118" s="113" t="s">
        <v>159</v>
      </c>
      <c r="D118" s="120"/>
    </row>
    <row r="119" spans="1:5" ht="16.5" thickBot="1" x14ac:dyDescent="0.3">
      <c r="A119" s="121" t="s">
        <v>160</v>
      </c>
      <c r="B119" s="115" t="s">
        <v>157</v>
      </c>
      <c r="C119" s="139">
        <f>'Custo por trabalhador'!E550</f>
        <v>2873.7262583333336</v>
      </c>
      <c r="D119" s="120"/>
    </row>
    <row r="120" spans="1:5" ht="16.5" thickBot="1" x14ac:dyDescent="0.3">
      <c r="A120" s="121" t="s">
        <v>161</v>
      </c>
      <c r="B120" s="115" t="s">
        <v>168</v>
      </c>
      <c r="C120" s="139">
        <f>'Custo por trabalhador'!E551</f>
        <v>2504.3763290361112</v>
      </c>
      <c r="D120" s="120"/>
    </row>
    <row r="121" spans="1:5" ht="16.5" thickBot="1" x14ac:dyDescent="0.3">
      <c r="A121" s="121" t="s">
        <v>162</v>
      </c>
      <c r="B121" s="115" t="s">
        <v>190</v>
      </c>
      <c r="C121" s="139">
        <f>'Custo por trabalhador'!E552</f>
        <v>122.32935701251317</v>
      </c>
      <c r="D121" s="120"/>
    </row>
    <row r="122" spans="1:5" ht="16.5" thickBot="1" x14ac:dyDescent="0.3">
      <c r="A122" s="121" t="s">
        <v>163</v>
      </c>
      <c r="B122" s="115" t="s">
        <v>198</v>
      </c>
      <c r="C122" s="139">
        <f>'Custo por trabalhador'!E553</f>
        <v>661.65706834289085</v>
      </c>
      <c r="D122" s="120"/>
    </row>
    <row r="123" spans="1:5" ht="16.5" thickBot="1" x14ac:dyDescent="0.3">
      <c r="A123" s="121" t="s">
        <v>164</v>
      </c>
      <c r="B123" s="115" t="s">
        <v>207</v>
      </c>
      <c r="C123" s="139">
        <f>'Custo por trabalhador'!E554</f>
        <v>544.82362499999999</v>
      </c>
      <c r="D123" s="120"/>
    </row>
    <row r="124" spans="1:5" ht="16.5" customHeight="1" thickBot="1" x14ac:dyDescent="0.3">
      <c r="A124" s="404" t="s">
        <v>217</v>
      </c>
      <c r="B124" s="405"/>
      <c r="C124" s="140">
        <f>ROUND(SUM(C119:C123),(2))</f>
        <v>6706.91</v>
      </c>
      <c r="D124" s="120"/>
    </row>
    <row r="125" spans="1:5" ht="16.5" thickBot="1" x14ac:dyDescent="0.3">
      <c r="A125" s="121" t="s">
        <v>165</v>
      </c>
      <c r="B125" s="115" t="s">
        <v>218</v>
      </c>
      <c r="C125" s="141">
        <f>'Custo por trabalhador'!E555</f>
        <v>1069.081989340192</v>
      </c>
      <c r="D125" s="120"/>
    </row>
    <row r="126" spans="1:5" s="120" customFormat="1" ht="16.5" thickBot="1" x14ac:dyDescent="0.3">
      <c r="A126" s="133" t="s">
        <v>166</v>
      </c>
      <c r="B126" s="134" t="s">
        <v>255</v>
      </c>
      <c r="C126" s="141">
        <f>'Custo por trabalhador'!E556</f>
        <v>548.26570671613001</v>
      </c>
    </row>
    <row r="127" spans="1:5" s="120" customFormat="1" ht="16.5" thickBot="1" x14ac:dyDescent="0.3">
      <c r="A127" s="397" t="s">
        <v>219</v>
      </c>
      <c r="B127" s="398"/>
      <c r="C127" s="145">
        <f>ROUND(SUM(C119:C123,C125:C126),(2))</f>
        <v>8324.26</v>
      </c>
      <c r="E127" s="142"/>
    </row>
    <row r="128" spans="1:5" s="120" customFormat="1" ht="16.5" thickBot="1" x14ac:dyDescent="0.3">
      <c r="A128" s="397" t="s">
        <v>239</v>
      </c>
      <c r="B128" s="398"/>
      <c r="C128" s="145">
        <f>ROUND(SUM(C127),(2))*2</f>
        <v>16648.52</v>
      </c>
    </row>
  </sheetData>
  <mergeCells count="34">
    <mergeCell ref="A22:C22"/>
    <mergeCell ref="A27:B27"/>
    <mergeCell ref="A20:C20"/>
    <mergeCell ref="A1:D1"/>
    <mergeCell ref="A8:C8"/>
    <mergeCell ref="A18:B18"/>
    <mergeCell ref="A5:C5"/>
    <mergeCell ref="A6:C6"/>
    <mergeCell ref="A2:H2"/>
    <mergeCell ref="A3:H3"/>
    <mergeCell ref="A127:B127"/>
    <mergeCell ref="A128:B128"/>
    <mergeCell ref="A42:C42"/>
    <mergeCell ref="A49:B49"/>
    <mergeCell ref="A51:C51"/>
    <mergeCell ref="A57:B57"/>
    <mergeCell ref="A59:C59"/>
    <mergeCell ref="A72:C72"/>
    <mergeCell ref="A74:C74"/>
    <mergeCell ref="A78:B78"/>
    <mergeCell ref="A113:C113"/>
    <mergeCell ref="A91:B91"/>
    <mergeCell ref="A93:C93"/>
    <mergeCell ref="A111:B111"/>
    <mergeCell ref="A116:C116"/>
    <mergeCell ref="A124:B124"/>
    <mergeCell ref="A29:D29"/>
    <mergeCell ref="A40:B40"/>
    <mergeCell ref="A86:C86"/>
    <mergeCell ref="A100:B100"/>
    <mergeCell ref="A102:C102"/>
    <mergeCell ref="A70:B70"/>
    <mergeCell ref="A80:C80"/>
    <mergeCell ref="A84:B84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7"/>
  <sheetViews>
    <sheetView workbookViewId="0">
      <selection activeCell="C23" sqref="C23"/>
    </sheetView>
  </sheetViews>
  <sheetFormatPr defaultRowHeight="15" x14ac:dyDescent="0.25"/>
  <cols>
    <col min="1" max="1" width="10.7109375" customWidth="1"/>
    <col min="2" max="2" width="29.28515625" customWidth="1"/>
    <col min="3" max="3" width="18.28515625" customWidth="1"/>
    <col min="4" max="4" width="18.140625" customWidth="1"/>
    <col min="5" max="5" width="14.28515625" customWidth="1"/>
    <col min="6" max="6" width="16.28515625" customWidth="1"/>
    <col min="7" max="7" width="15.42578125" customWidth="1"/>
  </cols>
  <sheetData>
    <row r="1" spans="1:7" x14ac:dyDescent="0.25">
      <c r="A1" t="s">
        <v>109</v>
      </c>
    </row>
    <row r="2" spans="1:7" ht="15.75" thickBot="1" x14ac:dyDescent="0.3"/>
    <row r="3" spans="1:7" ht="15.75" thickBot="1" x14ac:dyDescent="0.3">
      <c r="A3" s="426" t="s">
        <v>308</v>
      </c>
      <c r="B3" s="427"/>
      <c r="C3" s="427"/>
      <c r="D3" s="427"/>
      <c r="E3" s="427"/>
      <c r="F3" s="427"/>
      <c r="G3" s="428"/>
    </row>
    <row r="4" spans="1:7" ht="28.5" x14ac:dyDescent="0.25">
      <c r="A4" s="261" t="s">
        <v>144</v>
      </c>
      <c r="B4" s="262" t="s">
        <v>268</v>
      </c>
      <c r="C4" s="262" t="s">
        <v>269</v>
      </c>
      <c r="D4" s="262" t="s">
        <v>270</v>
      </c>
      <c r="E4" s="263" t="s">
        <v>271</v>
      </c>
      <c r="F4" s="264" t="s">
        <v>272</v>
      </c>
      <c r="G4" s="265" t="s">
        <v>284</v>
      </c>
    </row>
    <row r="5" spans="1:7" x14ac:dyDescent="0.25">
      <c r="A5" s="258">
        <v>1</v>
      </c>
      <c r="B5" s="257" t="s">
        <v>147</v>
      </c>
      <c r="C5" s="255" t="s">
        <v>273</v>
      </c>
      <c r="D5" s="255">
        <v>4</v>
      </c>
      <c r="E5" s="256">
        <v>133.25</v>
      </c>
      <c r="F5" s="294">
        <f>D5*E5</f>
        <v>533</v>
      </c>
      <c r="G5" s="294">
        <f>F5/12</f>
        <v>44.416666666666664</v>
      </c>
    </row>
    <row r="6" spans="1:7" x14ac:dyDescent="0.25">
      <c r="A6" s="258">
        <f t="shared" ref="A6:A14" si="0">A5+1</f>
        <v>2</v>
      </c>
      <c r="B6" s="257" t="s">
        <v>148</v>
      </c>
      <c r="C6" s="255" t="s">
        <v>273</v>
      </c>
      <c r="D6" s="255">
        <v>4</v>
      </c>
      <c r="E6" s="256">
        <v>150.79</v>
      </c>
      <c r="F6" s="294">
        <f>D6*E6</f>
        <v>603.16</v>
      </c>
      <c r="G6" s="294">
        <f>F6/12</f>
        <v>50.263333333333328</v>
      </c>
    </row>
    <row r="7" spans="1:7" x14ac:dyDescent="0.25">
      <c r="A7" s="258">
        <f t="shared" si="0"/>
        <v>3</v>
      </c>
      <c r="B7" s="257" t="s">
        <v>276</v>
      </c>
      <c r="C7" s="255" t="s">
        <v>274</v>
      </c>
      <c r="D7" s="255">
        <v>2</v>
      </c>
      <c r="E7" s="256">
        <v>306.23</v>
      </c>
      <c r="F7" s="294">
        <f t="shared" ref="F7:F14" si="1">D7*E7</f>
        <v>612.46</v>
      </c>
      <c r="G7" s="294">
        <f t="shared" ref="G7:G14" si="2">F7/12</f>
        <v>51.038333333333334</v>
      </c>
    </row>
    <row r="8" spans="1:7" x14ac:dyDescent="0.25">
      <c r="A8" s="258">
        <f t="shared" si="0"/>
        <v>4</v>
      </c>
      <c r="B8" s="257" t="s">
        <v>277</v>
      </c>
      <c r="C8" s="255" t="s">
        <v>273</v>
      </c>
      <c r="D8" s="255">
        <v>2</v>
      </c>
      <c r="E8" s="256">
        <v>41.33</v>
      </c>
      <c r="F8" s="294">
        <f t="shared" si="1"/>
        <v>82.66</v>
      </c>
      <c r="G8" s="294">
        <f t="shared" si="2"/>
        <v>6.8883333333333328</v>
      </c>
    </row>
    <row r="9" spans="1:7" x14ac:dyDescent="0.25">
      <c r="A9" s="258">
        <f t="shared" si="0"/>
        <v>5</v>
      </c>
      <c r="B9" s="257" t="s">
        <v>278</v>
      </c>
      <c r="C9" s="255" t="s">
        <v>273</v>
      </c>
      <c r="D9" s="255">
        <v>4</v>
      </c>
      <c r="E9" s="256">
        <v>38.049999999999997</v>
      </c>
      <c r="F9" s="294">
        <f t="shared" si="1"/>
        <v>152.19999999999999</v>
      </c>
      <c r="G9" s="294">
        <f t="shared" si="2"/>
        <v>12.683333333333332</v>
      </c>
    </row>
    <row r="10" spans="1:7" x14ac:dyDescent="0.25">
      <c r="A10" s="258">
        <f t="shared" si="0"/>
        <v>6</v>
      </c>
      <c r="B10" s="257" t="s">
        <v>279</v>
      </c>
      <c r="C10" s="255" t="s">
        <v>273</v>
      </c>
      <c r="D10" s="255">
        <v>2</v>
      </c>
      <c r="E10" s="256">
        <v>259.7</v>
      </c>
      <c r="F10" s="294">
        <f t="shared" si="1"/>
        <v>519.4</v>
      </c>
      <c r="G10" s="294">
        <f t="shared" si="2"/>
        <v>43.283333333333331</v>
      </c>
    </row>
    <row r="11" spans="1:7" x14ac:dyDescent="0.25">
      <c r="A11" s="258">
        <f t="shared" si="0"/>
        <v>7</v>
      </c>
      <c r="B11" s="257" t="s">
        <v>280</v>
      </c>
      <c r="C11" s="255" t="s">
        <v>274</v>
      </c>
      <c r="D11" s="255">
        <v>4</v>
      </c>
      <c r="E11" s="256">
        <v>2</v>
      </c>
      <c r="F11" s="294">
        <f t="shared" si="1"/>
        <v>8</v>
      </c>
      <c r="G11" s="294">
        <f t="shared" si="2"/>
        <v>0.66666666666666663</v>
      </c>
    </row>
    <row r="12" spans="1:7" x14ac:dyDescent="0.25">
      <c r="A12" s="258">
        <f t="shared" si="0"/>
        <v>8</v>
      </c>
      <c r="B12" s="257" t="s">
        <v>281</v>
      </c>
      <c r="C12" s="255" t="s">
        <v>273</v>
      </c>
      <c r="D12" s="255">
        <v>2</v>
      </c>
      <c r="E12" s="256">
        <v>9.56</v>
      </c>
      <c r="F12" s="294">
        <f t="shared" si="1"/>
        <v>19.12</v>
      </c>
      <c r="G12" s="294">
        <f t="shared" si="2"/>
        <v>1.5933333333333335</v>
      </c>
    </row>
    <row r="13" spans="1:7" x14ac:dyDescent="0.25">
      <c r="A13" s="258">
        <f t="shared" si="0"/>
        <v>9</v>
      </c>
      <c r="B13" s="257" t="s">
        <v>282</v>
      </c>
      <c r="C13" s="255" t="s">
        <v>273</v>
      </c>
      <c r="D13" s="255">
        <v>2</v>
      </c>
      <c r="E13" s="256">
        <v>28.38</v>
      </c>
      <c r="F13" s="294">
        <f t="shared" si="1"/>
        <v>56.76</v>
      </c>
      <c r="G13" s="294">
        <f t="shared" si="2"/>
        <v>4.7299999999999995</v>
      </c>
    </row>
    <row r="14" spans="1:7" ht="15.75" thickBot="1" x14ac:dyDescent="0.3">
      <c r="A14" s="300">
        <f t="shared" si="0"/>
        <v>10</v>
      </c>
      <c r="B14" s="301" t="s">
        <v>283</v>
      </c>
      <c r="C14" s="302" t="s">
        <v>273</v>
      </c>
      <c r="D14" s="302">
        <v>2</v>
      </c>
      <c r="E14" s="303">
        <v>243.62</v>
      </c>
      <c r="F14" s="309">
        <f t="shared" si="1"/>
        <v>487.24</v>
      </c>
      <c r="G14" s="309">
        <f t="shared" si="2"/>
        <v>40.603333333333332</v>
      </c>
    </row>
    <row r="15" spans="1:7" ht="15.75" thickBot="1" x14ac:dyDescent="0.3">
      <c r="A15" s="304"/>
      <c r="B15" s="305" t="s">
        <v>12</v>
      </c>
      <c r="C15" s="306"/>
      <c r="D15" s="305"/>
      <c r="E15" s="307">
        <f>SUM(E5:E14)</f>
        <v>1212.9099999999999</v>
      </c>
      <c r="F15" s="312">
        <f>SUM(F5:F14)</f>
        <v>3074</v>
      </c>
      <c r="G15" s="308">
        <f>SUM(G5:G14)</f>
        <v>256.16666666666663</v>
      </c>
    </row>
    <row r="16" spans="1:7" ht="15.75" x14ac:dyDescent="0.25">
      <c r="A16" s="422" t="s">
        <v>285</v>
      </c>
      <c r="B16" s="423"/>
      <c r="C16" s="423"/>
      <c r="D16" s="423"/>
      <c r="E16" s="423"/>
      <c r="F16" s="423"/>
      <c r="G16" s="266">
        <f>F15</f>
        <v>3074</v>
      </c>
    </row>
    <row r="17" spans="1:7" ht="16.5" thickBot="1" x14ac:dyDescent="0.3">
      <c r="A17" s="424" t="s">
        <v>275</v>
      </c>
      <c r="B17" s="425"/>
      <c r="C17" s="425"/>
      <c r="D17" s="425"/>
      <c r="E17" s="425"/>
      <c r="F17" s="425"/>
      <c r="G17" s="267">
        <f>G16/12</f>
        <v>256.16666666666669</v>
      </c>
    </row>
  </sheetData>
  <mergeCells count="3">
    <mergeCell ref="A16:F16"/>
    <mergeCell ref="A17:F17"/>
    <mergeCell ref="A3:G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25"/>
  <sheetViews>
    <sheetView workbookViewId="0">
      <selection activeCell="E22" sqref="E22"/>
    </sheetView>
  </sheetViews>
  <sheetFormatPr defaultRowHeight="15" x14ac:dyDescent="0.25"/>
  <cols>
    <col min="1" max="1" width="10.7109375" customWidth="1"/>
    <col min="2" max="2" width="35.42578125" customWidth="1"/>
    <col min="3" max="3" width="18.28515625" customWidth="1"/>
    <col min="4" max="4" width="18.140625" customWidth="1"/>
    <col min="5" max="5" width="14.28515625" customWidth="1"/>
    <col min="6" max="6" width="16.28515625" customWidth="1"/>
    <col min="7" max="7" width="15.42578125" customWidth="1"/>
  </cols>
  <sheetData>
    <row r="1" spans="1:7" x14ac:dyDescent="0.25">
      <c r="A1" t="s">
        <v>109</v>
      </c>
    </row>
    <row r="2" spans="1:7" ht="15.75" thickBot="1" x14ac:dyDescent="0.3"/>
    <row r="3" spans="1:7" ht="15.75" thickBot="1" x14ac:dyDescent="0.3">
      <c r="A3" s="426" t="s">
        <v>307</v>
      </c>
      <c r="B3" s="427"/>
      <c r="C3" s="427"/>
      <c r="D3" s="427"/>
      <c r="E3" s="427"/>
      <c r="F3" s="427"/>
      <c r="G3" s="428"/>
    </row>
    <row r="4" spans="1:7" ht="28.5" x14ac:dyDescent="0.25">
      <c r="A4" s="261" t="s">
        <v>144</v>
      </c>
      <c r="B4" s="262" t="s">
        <v>268</v>
      </c>
      <c r="C4" s="262" t="s">
        <v>269</v>
      </c>
      <c r="D4" s="262" t="s">
        <v>270</v>
      </c>
      <c r="E4" s="263" t="s">
        <v>271</v>
      </c>
      <c r="F4" s="264" t="s">
        <v>272</v>
      </c>
      <c r="G4" s="265" t="s">
        <v>284</v>
      </c>
    </row>
    <row r="5" spans="1:7" x14ac:dyDescent="0.25">
      <c r="A5" s="258">
        <v>1</v>
      </c>
      <c r="B5" s="257" t="s">
        <v>286</v>
      </c>
      <c r="C5" s="255" t="s">
        <v>273</v>
      </c>
      <c r="D5" s="255">
        <v>1</v>
      </c>
      <c r="E5" s="256">
        <v>107.76</v>
      </c>
      <c r="F5" s="294">
        <f>D5*E5</f>
        <v>107.76</v>
      </c>
      <c r="G5" s="294">
        <f>F5/12</f>
        <v>8.98</v>
      </c>
    </row>
    <row r="6" spans="1:7" x14ac:dyDescent="0.25">
      <c r="A6" s="258">
        <f t="shared" ref="A6:A14" si="0">A5+1</f>
        <v>2</v>
      </c>
      <c r="B6" s="257" t="s">
        <v>287</v>
      </c>
      <c r="C6" s="255" t="s">
        <v>273</v>
      </c>
      <c r="D6" s="255">
        <v>2</v>
      </c>
      <c r="E6" s="256">
        <v>34.380000000000003</v>
      </c>
      <c r="F6" s="294">
        <f>D6*E6</f>
        <v>68.760000000000005</v>
      </c>
      <c r="G6" s="294">
        <f>F6/12</f>
        <v>5.73</v>
      </c>
    </row>
    <row r="7" spans="1:7" x14ac:dyDescent="0.25">
      <c r="A7" s="258">
        <f t="shared" si="0"/>
        <v>3</v>
      </c>
      <c r="B7" s="257" t="s">
        <v>288</v>
      </c>
      <c r="C7" s="255" t="s">
        <v>273</v>
      </c>
      <c r="D7" s="255">
        <v>1</v>
      </c>
      <c r="E7" s="256">
        <v>42.63</v>
      </c>
      <c r="F7" s="294">
        <f t="shared" ref="F7:F14" si="1">D7*E7</f>
        <v>42.63</v>
      </c>
      <c r="G7" s="294">
        <f t="shared" ref="G7:G14" si="2">F7/12</f>
        <v>3.5525000000000002</v>
      </c>
    </row>
    <row r="8" spans="1:7" x14ac:dyDescent="0.25">
      <c r="A8" s="258">
        <f t="shared" si="0"/>
        <v>4</v>
      </c>
      <c r="B8" s="257" t="s">
        <v>289</v>
      </c>
      <c r="C8" s="255" t="s">
        <v>273</v>
      </c>
      <c r="D8" s="255">
        <v>1</v>
      </c>
      <c r="E8" s="256">
        <v>26.61</v>
      </c>
      <c r="F8" s="294">
        <f t="shared" si="1"/>
        <v>26.61</v>
      </c>
      <c r="G8" s="294">
        <f t="shared" si="2"/>
        <v>2.2174999999999998</v>
      </c>
    </row>
    <row r="9" spans="1:7" x14ac:dyDescent="0.25">
      <c r="A9" s="258">
        <f t="shared" si="0"/>
        <v>5</v>
      </c>
      <c r="B9" s="257" t="s">
        <v>290</v>
      </c>
      <c r="C9" s="255" t="s">
        <v>273</v>
      </c>
      <c r="D9" s="255">
        <v>4</v>
      </c>
      <c r="E9" s="256">
        <v>9.6300000000000008</v>
      </c>
      <c r="F9" s="294">
        <f t="shared" si="1"/>
        <v>38.520000000000003</v>
      </c>
      <c r="G9" s="294">
        <f t="shared" si="2"/>
        <v>3.2100000000000004</v>
      </c>
    </row>
    <row r="10" spans="1:7" x14ac:dyDescent="0.25">
      <c r="A10" s="258">
        <f t="shared" si="0"/>
        <v>6</v>
      </c>
      <c r="B10" s="257" t="s">
        <v>291</v>
      </c>
      <c r="C10" s="255" t="s">
        <v>273</v>
      </c>
      <c r="D10" s="255">
        <v>1</v>
      </c>
      <c r="E10" s="256">
        <v>73.86</v>
      </c>
      <c r="F10" s="294">
        <f t="shared" si="1"/>
        <v>73.86</v>
      </c>
      <c r="G10" s="294">
        <f t="shared" si="2"/>
        <v>6.1550000000000002</v>
      </c>
    </row>
    <row r="11" spans="1:7" x14ac:dyDescent="0.25">
      <c r="A11" s="258">
        <f t="shared" si="0"/>
        <v>7</v>
      </c>
      <c r="B11" s="257" t="s">
        <v>292</v>
      </c>
      <c r="C11" s="255" t="s">
        <v>273</v>
      </c>
      <c r="D11" s="255">
        <v>12</v>
      </c>
      <c r="E11" s="256">
        <v>8.91</v>
      </c>
      <c r="F11" s="294">
        <f t="shared" si="1"/>
        <v>106.92</v>
      </c>
      <c r="G11" s="294">
        <f t="shared" si="2"/>
        <v>8.91</v>
      </c>
    </row>
    <row r="12" spans="1:7" x14ac:dyDescent="0.25">
      <c r="A12" s="258">
        <f t="shared" si="0"/>
        <v>8</v>
      </c>
      <c r="B12" s="257" t="s">
        <v>295</v>
      </c>
      <c r="C12" s="255" t="s">
        <v>273</v>
      </c>
      <c r="D12" s="255">
        <v>1</v>
      </c>
      <c r="E12" s="256">
        <v>684.98</v>
      </c>
      <c r="F12" s="294">
        <f t="shared" ref="F12" si="3">D12*E12</f>
        <v>684.98</v>
      </c>
      <c r="G12" s="294">
        <f t="shared" si="2"/>
        <v>57.081666666666671</v>
      </c>
    </row>
    <row r="13" spans="1:7" x14ac:dyDescent="0.25">
      <c r="A13" s="258">
        <f t="shared" si="0"/>
        <v>9</v>
      </c>
      <c r="B13" s="257" t="s">
        <v>296</v>
      </c>
      <c r="C13" s="255" t="s">
        <v>273</v>
      </c>
      <c r="D13" s="255">
        <v>1</v>
      </c>
      <c r="E13" s="256">
        <v>6.12</v>
      </c>
      <c r="F13" s="294">
        <f t="shared" ref="F13" si="4">D13*E13</f>
        <v>6.12</v>
      </c>
      <c r="G13" s="294">
        <f t="shared" si="2"/>
        <v>0.51</v>
      </c>
    </row>
    <row r="14" spans="1:7" ht="15.75" thickBot="1" x14ac:dyDescent="0.3">
      <c r="A14" s="300">
        <f t="shared" si="0"/>
        <v>10</v>
      </c>
      <c r="B14" s="301" t="s">
        <v>297</v>
      </c>
      <c r="C14" s="302" t="s">
        <v>273</v>
      </c>
      <c r="D14" s="302">
        <v>1</v>
      </c>
      <c r="E14" s="303">
        <v>1.51</v>
      </c>
      <c r="F14" s="309">
        <f t="shared" si="1"/>
        <v>1.51</v>
      </c>
      <c r="G14" s="309">
        <f t="shared" si="2"/>
        <v>0.12583333333333332</v>
      </c>
    </row>
    <row r="15" spans="1:7" ht="15.75" thickBot="1" x14ac:dyDescent="0.3">
      <c r="A15" s="304"/>
      <c r="B15" s="305" t="s">
        <v>12</v>
      </c>
      <c r="C15" s="306"/>
      <c r="D15" s="305"/>
      <c r="E15" s="307">
        <f>SUM(E5:E14)</f>
        <v>996.39</v>
      </c>
      <c r="F15" s="312">
        <f>SUM(F5:F14)</f>
        <v>1157.6699999999998</v>
      </c>
      <c r="G15" s="308">
        <f>SUM(G5:G14)</f>
        <v>96.472500000000011</v>
      </c>
    </row>
    <row r="16" spans="1:7" ht="16.5" thickBot="1" x14ac:dyDescent="0.3">
      <c r="A16" s="429" t="s">
        <v>311</v>
      </c>
      <c r="B16" s="430"/>
      <c r="C16" s="430"/>
      <c r="D16" s="430"/>
      <c r="E16" s="430"/>
      <c r="F16" s="430"/>
      <c r="G16" s="266">
        <f>F15/2</f>
        <v>578.83499999999992</v>
      </c>
    </row>
    <row r="17" spans="1:10" ht="16.5" thickBot="1" x14ac:dyDescent="0.3">
      <c r="A17" s="431" t="s">
        <v>312</v>
      </c>
      <c r="B17" s="432"/>
      <c r="C17" s="432"/>
      <c r="D17" s="432"/>
      <c r="E17" s="432"/>
      <c r="F17" s="432"/>
      <c r="G17" s="268">
        <f>G16/12</f>
        <v>48.236249999999991</v>
      </c>
    </row>
    <row r="19" spans="1:10" ht="15.75" thickBot="1" x14ac:dyDescent="0.3"/>
    <row r="20" spans="1:10" ht="15.75" thickBot="1" x14ac:dyDescent="0.3">
      <c r="A20" s="426" t="s">
        <v>314</v>
      </c>
      <c r="B20" s="427"/>
      <c r="C20" s="427"/>
      <c r="D20" s="427"/>
      <c r="E20" s="427"/>
      <c r="F20" s="427"/>
      <c r="G20" s="428"/>
    </row>
    <row r="21" spans="1:10" ht="28.5" x14ac:dyDescent="0.25">
      <c r="A21" s="261" t="s">
        <v>144</v>
      </c>
      <c r="B21" s="262" t="s">
        <v>268</v>
      </c>
      <c r="C21" s="262" t="s">
        <v>269</v>
      </c>
      <c r="D21" s="262" t="s">
        <v>270</v>
      </c>
      <c r="E21" s="263" t="s">
        <v>271</v>
      </c>
      <c r="F21" s="264" t="s">
        <v>272</v>
      </c>
      <c r="G21" s="265" t="s">
        <v>284</v>
      </c>
    </row>
    <row r="22" spans="1:10" ht="15.75" thickBot="1" x14ac:dyDescent="0.3">
      <c r="A22" s="300">
        <v>1</v>
      </c>
      <c r="B22" s="301" t="s">
        <v>365</v>
      </c>
      <c r="C22" s="302" t="s">
        <v>299</v>
      </c>
      <c r="D22" s="302">
        <f>30*12</f>
        <v>360</v>
      </c>
      <c r="E22" s="303">
        <v>5.75</v>
      </c>
      <c r="F22" s="310">
        <f>D22*E22</f>
        <v>2070</v>
      </c>
      <c r="G22" s="311">
        <f>F22/12</f>
        <v>172.5</v>
      </c>
    </row>
    <row r="23" spans="1:10" ht="15.75" thickBot="1" x14ac:dyDescent="0.3">
      <c r="A23" s="304"/>
      <c r="B23" s="305" t="s">
        <v>12</v>
      </c>
      <c r="C23" s="306"/>
      <c r="D23" s="305"/>
      <c r="E23" s="307"/>
      <c r="F23" s="312">
        <f>SUM(F22)</f>
        <v>2070</v>
      </c>
      <c r="G23" s="308">
        <f>SUM(G22)</f>
        <v>172.5</v>
      </c>
      <c r="J23" s="146"/>
    </row>
    <row r="24" spans="1:10" ht="15.75" x14ac:dyDescent="0.25">
      <c r="A24" s="433" t="s">
        <v>315</v>
      </c>
      <c r="B24" s="434"/>
      <c r="C24" s="434"/>
      <c r="D24" s="434"/>
      <c r="E24" s="434"/>
      <c r="F24" s="434"/>
      <c r="G24" s="269">
        <f>F23/2</f>
        <v>1035</v>
      </c>
    </row>
    <row r="25" spans="1:10" ht="16.5" thickBot="1" x14ac:dyDescent="0.3">
      <c r="A25" s="424" t="s">
        <v>316</v>
      </c>
      <c r="B25" s="425"/>
      <c r="C25" s="425"/>
      <c r="D25" s="425"/>
      <c r="E25" s="425"/>
      <c r="F25" s="425"/>
      <c r="G25" s="267">
        <f>G24/12</f>
        <v>86.25</v>
      </c>
    </row>
  </sheetData>
  <mergeCells count="6">
    <mergeCell ref="A25:F25"/>
    <mergeCell ref="A3:G3"/>
    <mergeCell ref="A16:F16"/>
    <mergeCell ref="A17:F17"/>
    <mergeCell ref="A20:G20"/>
    <mergeCell ref="A24:F2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18"/>
  <sheetViews>
    <sheetView workbookViewId="0">
      <selection activeCell="E16" sqref="E16"/>
    </sheetView>
  </sheetViews>
  <sheetFormatPr defaultRowHeight="15" x14ac:dyDescent="0.25"/>
  <cols>
    <col min="1" max="1" width="10.7109375" customWidth="1"/>
    <col min="2" max="2" width="29.28515625" customWidth="1"/>
    <col min="3" max="3" width="18.28515625" customWidth="1"/>
    <col min="4" max="4" width="18.140625" customWidth="1"/>
    <col min="5" max="5" width="14.28515625" customWidth="1"/>
    <col min="6" max="6" width="16.28515625" customWidth="1"/>
    <col min="7" max="7" width="15.42578125" customWidth="1"/>
  </cols>
  <sheetData>
    <row r="1" spans="1:6" x14ac:dyDescent="0.25">
      <c r="A1" t="s">
        <v>109</v>
      </c>
    </row>
    <row r="2" spans="1:6" ht="15.75" thickBot="1" x14ac:dyDescent="0.3"/>
    <row r="3" spans="1:6" ht="15.75" thickBot="1" x14ac:dyDescent="0.3">
      <c r="A3" s="426" t="s">
        <v>309</v>
      </c>
      <c r="B3" s="427"/>
      <c r="C3" s="427"/>
      <c r="D3" s="427"/>
      <c r="E3" s="427"/>
      <c r="F3" s="428"/>
    </row>
    <row r="4" spans="1:6" ht="42.75" x14ac:dyDescent="0.25">
      <c r="A4" s="261" t="s">
        <v>144</v>
      </c>
      <c r="B4" s="262" t="s">
        <v>268</v>
      </c>
      <c r="C4" s="262" t="s">
        <v>305</v>
      </c>
      <c r="D4" s="262" t="s">
        <v>270</v>
      </c>
      <c r="E4" s="263" t="s">
        <v>271</v>
      </c>
      <c r="F4" s="265" t="s">
        <v>310</v>
      </c>
    </row>
    <row r="5" spans="1:6" x14ac:dyDescent="0.25">
      <c r="A5" s="258">
        <v>1</v>
      </c>
      <c r="B5" s="257" t="s">
        <v>330</v>
      </c>
      <c r="C5" s="255">
        <v>120</v>
      </c>
      <c r="D5" s="255">
        <v>1</v>
      </c>
      <c r="E5" s="295">
        <v>6870.25</v>
      </c>
      <c r="F5" s="294">
        <f>(E5/C5)*D5</f>
        <v>57.252083333333331</v>
      </c>
    </row>
    <row r="6" spans="1:6" x14ac:dyDescent="0.25">
      <c r="A6" s="258">
        <f t="shared" ref="A6:A7" si="0">A5+1</f>
        <v>2</v>
      </c>
      <c r="B6" s="257" t="s">
        <v>293</v>
      </c>
      <c r="C6" s="255">
        <v>60</v>
      </c>
      <c r="D6" s="255">
        <v>1</v>
      </c>
      <c r="E6" s="295">
        <v>1686.72</v>
      </c>
      <c r="F6" s="294">
        <f>(E6/C6)*D6</f>
        <v>28.112000000000002</v>
      </c>
    </row>
    <row r="7" spans="1:6" ht="15.75" thickBot="1" x14ac:dyDescent="0.3">
      <c r="A7" s="258">
        <f t="shared" si="0"/>
        <v>3</v>
      </c>
      <c r="B7" s="257" t="s">
        <v>294</v>
      </c>
      <c r="C7" s="255">
        <v>36</v>
      </c>
      <c r="D7" s="255">
        <v>1</v>
      </c>
      <c r="E7" s="295">
        <v>2316.66</v>
      </c>
      <c r="F7" s="294">
        <f>(E7/C7)*D7</f>
        <v>64.351666666666659</v>
      </c>
    </row>
    <row r="8" spans="1:6" ht="15.75" thickBot="1" x14ac:dyDescent="0.3">
      <c r="A8" s="304"/>
      <c r="B8" s="305" t="s">
        <v>12</v>
      </c>
      <c r="C8" s="306"/>
      <c r="D8" s="305"/>
      <c r="E8" s="307">
        <f>SUM(E5:E7)</f>
        <v>10873.63</v>
      </c>
      <c r="F8" s="308">
        <f>SUM(F5:F7)</f>
        <v>149.71574999999999</v>
      </c>
    </row>
    <row r="9" spans="1:6" ht="15.75" x14ac:dyDescent="0.25">
      <c r="A9" s="435" t="s">
        <v>311</v>
      </c>
      <c r="B9" s="436"/>
      <c r="C9" s="436"/>
      <c r="D9" s="436"/>
      <c r="E9" s="436"/>
      <c r="F9" s="269">
        <f>F8*12/2</f>
        <v>898.29449999999997</v>
      </c>
    </row>
    <row r="10" spans="1:6" ht="16.5" thickBot="1" x14ac:dyDescent="0.3">
      <c r="A10" s="424" t="s">
        <v>312</v>
      </c>
      <c r="B10" s="425"/>
      <c r="C10" s="425"/>
      <c r="D10" s="425"/>
      <c r="E10" s="425"/>
      <c r="F10" s="267">
        <f>F9/12</f>
        <v>74.857874999999993</v>
      </c>
    </row>
    <row r="12" spans="1:6" ht="15.75" thickBot="1" x14ac:dyDescent="0.3"/>
    <row r="13" spans="1:6" ht="15.75" thickBot="1" x14ac:dyDescent="0.3">
      <c r="A13" s="426" t="s">
        <v>331</v>
      </c>
      <c r="B13" s="427"/>
      <c r="C13" s="427"/>
      <c r="D13" s="427"/>
      <c r="E13" s="427"/>
      <c r="F13" s="428"/>
    </row>
    <row r="14" spans="1:6" ht="42.75" x14ac:dyDescent="0.25">
      <c r="A14" s="261" t="s">
        <v>144</v>
      </c>
      <c r="B14" s="262" t="s">
        <v>268</v>
      </c>
      <c r="C14" s="262" t="s">
        <v>305</v>
      </c>
      <c r="D14" s="262" t="s">
        <v>270</v>
      </c>
      <c r="E14" s="263" t="s">
        <v>271</v>
      </c>
      <c r="F14" s="265" t="s">
        <v>310</v>
      </c>
    </row>
    <row r="15" spans="1:6" ht="15.75" thickBot="1" x14ac:dyDescent="0.3">
      <c r="A15" s="300">
        <v>1</v>
      </c>
      <c r="B15" s="301" t="s">
        <v>298</v>
      </c>
      <c r="C15" s="302">
        <v>120</v>
      </c>
      <c r="D15" s="302">
        <v>1</v>
      </c>
      <c r="E15" s="303">
        <v>19035.080000000002</v>
      </c>
      <c r="F15" s="309">
        <f>(E15/C15)*D15</f>
        <v>158.62566666666669</v>
      </c>
    </row>
    <row r="16" spans="1:6" ht="15.75" thickBot="1" x14ac:dyDescent="0.3">
      <c r="A16" s="304"/>
      <c r="B16" s="305" t="s">
        <v>12</v>
      </c>
      <c r="C16" s="306"/>
      <c r="D16" s="305"/>
      <c r="E16" s="307">
        <f>SUM(E15)</f>
        <v>19035.080000000002</v>
      </c>
      <c r="F16" s="308">
        <f>SUM(F15)</f>
        <v>158.62566666666669</v>
      </c>
    </row>
    <row r="17" spans="1:6" ht="15.75" x14ac:dyDescent="0.25">
      <c r="A17" s="435" t="s">
        <v>311</v>
      </c>
      <c r="B17" s="436"/>
      <c r="C17" s="436"/>
      <c r="D17" s="436"/>
      <c r="E17" s="436"/>
      <c r="F17" s="269">
        <f>F16*12/2</f>
        <v>951.75400000000013</v>
      </c>
    </row>
    <row r="18" spans="1:6" ht="16.5" thickBot="1" x14ac:dyDescent="0.3">
      <c r="A18" s="424" t="s">
        <v>312</v>
      </c>
      <c r="B18" s="425"/>
      <c r="C18" s="425"/>
      <c r="D18" s="425"/>
      <c r="E18" s="425"/>
      <c r="F18" s="267">
        <f>F17/12</f>
        <v>79.312833333333344</v>
      </c>
    </row>
  </sheetData>
  <mergeCells count="6">
    <mergeCell ref="A18:E18"/>
    <mergeCell ref="A3:F3"/>
    <mergeCell ref="A9:E9"/>
    <mergeCell ref="A10:E10"/>
    <mergeCell ref="A13:F13"/>
    <mergeCell ref="A17:E1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9</vt:i4>
      </vt:variant>
    </vt:vector>
  </HeadingPairs>
  <TitlesOfParts>
    <vt:vector size="9" baseType="lpstr">
      <vt:lpstr>Resumo - Estimativa de Preço</vt:lpstr>
      <vt:lpstr>Custo por trabalhador</vt:lpstr>
      <vt:lpstr>Posto D-12x36</vt:lpstr>
      <vt:lpstr>Posto N-12x36</vt:lpstr>
      <vt:lpstr>Posto MOT D-12x36</vt:lpstr>
      <vt:lpstr>Posto MOT N-12x36</vt:lpstr>
      <vt:lpstr>Uniformes</vt:lpstr>
      <vt:lpstr>Materiais</vt:lpstr>
      <vt:lpstr>Equipamentos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Arcangela Silva Casagrande</dc:creator>
  <cp:lastModifiedBy>Nilzete Silveira Lima Coelho</cp:lastModifiedBy>
  <dcterms:created xsi:type="dcterms:W3CDTF">2018-01-23T19:35:16Z</dcterms:created>
  <dcterms:modified xsi:type="dcterms:W3CDTF">2024-07-10T13:07:40Z</dcterms:modified>
</cp:coreProperties>
</file>