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Processos Licitatórios\Licitação Vigilância\LICITAÇÃO _ PLANILHA\"/>
    </mc:Choice>
  </mc:AlternateContent>
  <xr:revisionPtr revIDLastSave="0" documentId="13_ncr:1_{244E500A-CB50-45E0-8AA3-318AE22B161C}" xr6:coauthVersionLast="47" xr6:coauthVersionMax="47" xr10:uidLastSave="{00000000-0000-0000-0000-000000000000}"/>
  <bookViews>
    <workbookView xWindow="-120" yWindow="-120" windowWidth="29040" windowHeight="15840" tabRatio="781" xr2:uid="{00000000-000D-0000-FFFF-FFFF00000000}"/>
  </bookViews>
  <sheets>
    <sheet name="Resumo - Estimativa de Preço" sheetId="14" r:id="rId1"/>
    <sheet name="Custo por trabalhador" sheetId="2" r:id="rId2"/>
    <sheet name="Posto D-12x36" sheetId="3" r:id="rId3"/>
    <sheet name="Posto N-12x36" sheetId="4" r:id="rId4"/>
    <sheet name="Uniformes" sheetId="8" r:id="rId5"/>
    <sheet name="Materiais" sheetId="9" r:id="rId6"/>
    <sheet name="Equipamento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4" l="1"/>
  <c r="D28" i="14"/>
  <c r="D27" i="14"/>
  <c r="C22" i="14"/>
  <c r="D21" i="14"/>
  <c r="D20" i="14"/>
  <c r="C15" i="14"/>
  <c r="D14" i="14"/>
  <c r="D13" i="14"/>
  <c r="C8" i="14"/>
  <c r="D7" i="14"/>
  <c r="D6" i="14"/>
  <c r="D8" i="14" l="1"/>
  <c r="C32" i="14"/>
  <c r="D15" i="14"/>
  <c r="D29" i="14"/>
  <c r="D22" i="14"/>
  <c r="C33" i="14" l="1"/>
  <c r="B47" i="4" l="1"/>
  <c r="B47" i="3"/>
  <c r="B46" i="4"/>
  <c r="B46" i="3"/>
  <c r="B45" i="4"/>
  <c r="B45" i="3"/>
  <c r="B195" i="2"/>
  <c r="B198" i="2" s="1"/>
  <c r="B199" i="2" s="1"/>
  <c r="B197" i="2"/>
  <c r="C13" i="4" l="1"/>
  <c r="C15" i="3"/>
  <c r="C13" i="3"/>
  <c r="F7" i="10" l="1"/>
  <c r="E492" i="2" s="1"/>
  <c r="F6" i="10"/>
  <c r="E491" i="2" s="1"/>
  <c r="F5" i="10"/>
  <c r="E490" i="2" s="1"/>
  <c r="E493" i="2" l="1"/>
  <c r="B502" i="2" l="1"/>
  <c r="B501" i="2"/>
  <c r="B498" i="2"/>
  <c r="B497" i="2"/>
  <c r="A492" i="2"/>
  <c r="B492" i="2"/>
  <c r="C492" i="2"/>
  <c r="D492" i="2"/>
  <c r="D491" i="2"/>
  <c r="C491" i="2"/>
  <c r="B491" i="2"/>
  <c r="A491" i="2"/>
  <c r="D490" i="2"/>
  <c r="C490" i="2"/>
  <c r="B490" i="2"/>
  <c r="A490" i="2"/>
  <c r="B469" i="2"/>
  <c r="C469" i="2"/>
  <c r="B470" i="2"/>
  <c r="C470" i="2"/>
  <c r="B471" i="2"/>
  <c r="C471" i="2"/>
  <c r="B472" i="2"/>
  <c r="C472" i="2"/>
  <c r="B473" i="2"/>
  <c r="C473" i="2"/>
  <c r="B474" i="2"/>
  <c r="C474" i="2"/>
  <c r="B475" i="2"/>
  <c r="C475" i="2"/>
  <c r="B476" i="2"/>
  <c r="C476" i="2"/>
  <c r="C468" i="2"/>
  <c r="C467" i="2"/>
  <c r="B468" i="2"/>
  <c r="B467" i="2"/>
  <c r="A474" i="2"/>
  <c r="A475" i="2"/>
  <c r="A476" i="2"/>
  <c r="A469" i="2"/>
  <c r="A470" i="2"/>
  <c r="A471" i="2"/>
  <c r="A472" i="2"/>
  <c r="A473" i="2"/>
  <c r="A468" i="2"/>
  <c r="A467" i="2"/>
  <c r="B446" i="2"/>
  <c r="C446" i="2"/>
  <c r="B447" i="2"/>
  <c r="C447" i="2"/>
  <c r="B448" i="2"/>
  <c r="C448" i="2"/>
  <c r="B449" i="2"/>
  <c r="C449" i="2"/>
  <c r="B450" i="2"/>
  <c r="C450" i="2"/>
  <c r="B451" i="2"/>
  <c r="C451" i="2"/>
  <c r="B452" i="2"/>
  <c r="C452" i="2"/>
  <c r="B453" i="2"/>
  <c r="C453" i="2"/>
  <c r="C445" i="2"/>
  <c r="C444" i="2"/>
  <c r="B445" i="2"/>
  <c r="B444" i="2"/>
  <c r="A452" i="2"/>
  <c r="A453" i="2"/>
  <c r="A446" i="2"/>
  <c r="A447" i="2"/>
  <c r="A448" i="2"/>
  <c r="A449" i="2"/>
  <c r="A450" i="2"/>
  <c r="A451" i="2"/>
  <c r="A445" i="2"/>
  <c r="A444" i="2"/>
  <c r="A6" i="10"/>
  <c r="A7" i="10" s="1"/>
  <c r="E8" i="10"/>
  <c r="F13" i="9"/>
  <c r="G13" i="9" s="1"/>
  <c r="F12" i="9"/>
  <c r="G12" i="9" s="1"/>
  <c r="E15" i="9"/>
  <c r="F14" i="9"/>
  <c r="G14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A6" i="9"/>
  <c r="A7" i="9" s="1"/>
  <c r="A8" i="9" s="1"/>
  <c r="A9" i="9" s="1"/>
  <c r="A10" i="9" s="1"/>
  <c r="A11" i="9" s="1"/>
  <c r="A12" i="9" s="1"/>
  <c r="A13" i="9" s="1"/>
  <c r="A14" i="9" s="1"/>
  <c r="F5" i="9"/>
  <c r="G5" i="9" s="1"/>
  <c r="F7" i="8"/>
  <c r="G7" i="8" s="1"/>
  <c r="F8" i="8"/>
  <c r="G8" i="8" s="1"/>
  <c r="F9" i="8"/>
  <c r="G9" i="8" s="1"/>
  <c r="F10" i="8"/>
  <c r="G10" i="8" s="1"/>
  <c r="F11" i="8"/>
  <c r="G11" i="8" s="1"/>
  <c r="F12" i="8"/>
  <c r="G12" i="8" s="1"/>
  <c r="F13" i="8"/>
  <c r="G13" i="8" s="1"/>
  <c r="F14" i="8"/>
  <c r="G14" i="8" s="1"/>
  <c r="F6" i="8"/>
  <c r="G6" i="8" s="1"/>
  <c r="F5" i="8"/>
  <c r="G5" i="8" s="1"/>
  <c r="E15" i="8"/>
  <c r="A6" i="8"/>
  <c r="A7" i="8" s="1"/>
  <c r="A8" i="8" s="1"/>
  <c r="A9" i="8" s="1"/>
  <c r="A10" i="8" s="1"/>
  <c r="A11" i="8" s="1"/>
  <c r="A12" i="8" s="1"/>
  <c r="A13" i="8" s="1"/>
  <c r="A14" i="8" s="1"/>
  <c r="G15" i="8" l="1"/>
  <c r="D471" i="2"/>
  <c r="D469" i="2"/>
  <c r="D476" i="2"/>
  <c r="D474" i="2"/>
  <c r="D467" i="2"/>
  <c r="D468" i="2"/>
  <c r="D475" i="2"/>
  <c r="D473" i="2"/>
  <c r="D472" i="2"/>
  <c r="D470" i="2"/>
  <c r="D444" i="2"/>
  <c r="D449" i="2"/>
  <c r="D450" i="2"/>
  <c r="D445" i="2"/>
  <c r="D453" i="2"/>
  <c r="D451" i="2"/>
  <c r="D448" i="2"/>
  <c r="D446" i="2"/>
  <c r="D452" i="2"/>
  <c r="D447" i="2"/>
  <c r="F8" i="10"/>
  <c r="F9" i="10" s="1"/>
  <c r="F10" i="10" s="1"/>
  <c r="G15" i="9"/>
  <c r="F15" i="9"/>
  <c r="G16" i="9" s="1"/>
  <c r="G17" i="9" s="1"/>
  <c r="F15" i="8"/>
  <c r="G16" i="8" s="1"/>
  <c r="G17" i="8" s="1"/>
  <c r="D477" i="2" l="1"/>
  <c r="B481" i="2" s="1"/>
  <c r="C481" i="2" s="1"/>
  <c r="C506" i="2" s="1"/>
  <c r="C97" i="3" s="1"/>
  <c r="D454" i="2"/>
  <c r="B482" i="2" l="1"/>
  <c r="C482" i="2" s="1"/>
  <c r="C507" i="2" s="1"/>
  <c r="C97" i="4" s="1"/>
  <c r="C484" i="2"/>
  <c r="C509" i="2" s="1"/>
  <c r="B486" i="2"/>
  <c r="C486" i="2" s="1"/>
  <c r="C511" i="2" s="1"/>
  <c r="C483" i="2"/>
  <c r="C508" i="2" s="1"/>
  <c r="B485" i="2"/>
  <c r="C485" i="2" s="1"/>
  <c r="C510" i="2" s="1"/>
  <c r="C461" i="2"/>
  <c r="B462" i="2"/>
  <c r="C462" i="2" s="1"/>
  <c r="B459" i="2"/>
  <c r="C459" i="2" s="1"/>
  <c r="B463" i="2"/>
  <c r="C463" i="2" s="1"/>
  <c r="C460" i="2"/>
  <c r="B458" i="2"/>
  <c r="C458" i="2" s="1"/>
  <c r="B48" i="2" l="1"/>
  <c r="B47" i="2"/>
  <c r="B43" i="2"/>
  <c r="B42" i="2"/>
  <c r="E367" i="2"/>
  <c r="C33" i="4"/>
  <c r="C34" i="4"/>
  <c r="C35" i="4"/>
  <c r="C36" i="4"/>
  <c r="C37" i="4"/>
  <c r="C38" i="4"/>
  <c r="C39" i="4"/>
  <c r="C32" i="4"/>
  <c r="B16" i="4"/>
  <c r="B15" i="4"/>
  <c r="B14" i="4"/>
  <c r="B13" i="4"/>
  <c r="B12" i="4"/>
  <c r="B11" i="4"/>
  <c r="C33" i="3"/>
  <c r="C34" i="3"/>
  <c r="C35" i="3"/>
  <c r="C36" i="3"/>
  <c r="C37" i="3"/>
  <c r="C38" i="3"/>
  <c r="C39" i="3"/>
  <c r="C32" i="3"/>
  <c r="B14" i="3"/>
  <c r="B16" i="3"/>
  <c r="B15" i="3"/>
  <c r="B12" i="3"/>
  <c r="B13" i="3"/>
  <c r="B11" i="3"/>
  <c r="D227" i="2"/>
  <c r="D224" i="2"/>
  <c r="D228" i="2" s="1"/>
  <c r="B169" i="2"/>
  <c r="B13" i="2"/>
  <c r="E328" i="2" l="1"/>
  <c r="E327" i="2"/>
  <c r="E326" i="2"/>
  <c r="E325" i="2"/>
  <c r="E324" i="2"/>
  <c r="E323" i="2"/>
  <c r="C525" i="2"/>
  <c r="C524" i="2"/>
  <c r="C500" i="2"/>
  <c r="D500" i="2" s="1"/>
  <c r="D509" i="2" s="1"/>
  <c r="C499" i="2"/>
  <c r="D499" i="2" s="1"/>
  <c r="D508" i="2" s="1"/>
  <c r="B509" i="2"/>
  <c r="E509" i="2" s="1"/>
  <c r="B508" i="2"/>
  <c r="C346" i="2"/>
  <c r="C345" i="2"/>
  <c r="C404" i="2"/>
  <c r="C317" i="2"/>
  <c r="E297" i="2"/>
  <c r="E296" i="2"/>
  <c r="E295" i="2"/>
  <c r="C288" i="2"/>
  <c r="E246" i="2"/>
  <c r="E245" i="2"/>
  <c r="D246" i="2"/>
  <c r="C197" i="2"/>
  <c r="D197" i="2" s="1"/>
  <c r="B215" i="2" s="1"/>
  <c r="C196" i="2"/>
  <c r="D196" i="2" s="1"/>
  <c r="B214" i="2" s="1"/>
  <c r="C168" i="2"/>
  <c r="E167" i="2"/>
  <c r="B185" i="2" s="1"/>
  <c r="C146" i="2"/>
  <c r="C145" i="2"/>
  <c r="C137" i="2"/>
  <c r="C136" i="2"/>
  <c r="D104" i="2"/>
  <c r="C104" i="2"/>
  <c r="D103" i="2"/>
  <c r="C103" i="2"/>
  <c r="C95" i="2"/>
  <c r="C94" i="2"/>
  <c r="C86" i="2"/>
  <c r="C85" i="2"/>
  <c r="C73" i="2"/>
  <c r="C72" i="2"/>
  <c r="C62" i="2"/>
  <c r="C61" i="2"/>
  <c r="E508" i="2" l="1"/>
  <c r="D245" i="2"/>
  <c r="C69" i="4"/>
  <c r="C65" i="4"/>
  <c r="C69" i="3"/>
  <c r="C65" i="3"/>
  <c r="D546" i="2" l="1"/>
  <c r="E546" i="2"/>
  <c r="E299" i="2"/>
  <c r="E298" i="2"/>
  <c r="E294" i="2"/>
  <c r="C63" i="2" l="1"/>
  <c r="C64" i="2"/>
  <c r="C60" i="2"/>
  <c r="C59" i="2"/>
  <c r="B203" i="2" l="1"/>
  <c r="D206" i="2"/>
  <c r="C215" i="2" s="1"/>
  <c r="D215" i="2" s="1"/>
  <c r="D205" i="2"/>
  <c r="C214" i="2" s="1"/>
  <c r="D214" i="2" s="1"/>
  <c r="E177" i="2"/>
  <c r="C186" i="2" s="1"/>
  <c r="B204" i="2"/>
  <c r="E176" i="2"/>
  <c r="C185" i="2" s="1"/>
  <c r="D185" i="2" s="1"/>
  <c r="B32" i="2"/>
  <c r="D34" i="2"/>
  <c r="D33" i="2"/>
  <c r="B207" i="2"/>
  <c r="B208" i="2" s="1"/>
  <c r="B35" i="2"/>
  <c r="B31" i="2"/>
  <c r="B36" i="2"/>
  <c r="C315" i="2"/>
  <c r="C286" i="2"/>
  <c r="C245" i="2" l="1"/>
  <c r="B245" i="2"/>
  <c r="C246" i="2"/>
  <c r="E73" i="2"/>
  <c r="D25" i="2"/>
  <c r="D73" i="2" s="1"/>
  <c r="E72" i="2"/>
  <c r="D24" i="2"/>
  <c r="D72" i="2" s="1"/>
  <c r="C107" i="4"/>
  <c r="C106" i="4"/>
  <c r="C105" i="4"/>
  <c r="C106" i="3"/>
  <c r="C107" i="3"/>
  <c r="C105" i="3"/>
  <c r="F245" i="2" l="1"/>
  <c r="D256" i="2" s="1"/>
  <c r="C502" i="2" l="1"/>
  <c r="D502" i="2" s="1"/>
  <c r="D511" i="2" s="1"/>
  <c r="C501" i="2"/>
  <c r="D501" i="2" s="1"/>
  <c r="D510" i="2" s="1"/>
  <c r="C498" i="2"/>
  <c r="D498" i="2" s="1"/>
  <c r="D507" i="2" s="1"/>
  <c r="C98" i="4" s="1"/>
  <c r="C497" i="2"/>
  <c r="D497" i="2" s="1"/>
  <c r="D506" i="2" s="1"/>
  <c r="C98" i="3" s="1"/>
  <c r="B507" i="2"/>
  <c r="B506" i="2"/>
  <c r="C96" i="3" l="1"/>
  <c r="E506" i="2"/>
  <c r="B546" i="2" s="1"/>
  <c r="C96" i="4"/>
  <c r="E507" i="2"/>
  <c r="C546" i="2" s="1"/>
  <c r="C343" i="2"/>
  <c r="B166" i="2" l="1"/>
  <c r="D43" i="2"/>
  <c r="E168" i="2" l="1"/>
  <c r="B186" i="2" s="1"/>
  <c r="D186" i="2" s="1"/>
  <c r="B246" i="2" s="1"/>
  <c r="B170" i="2"/>
  <c r="C134" i="2"/>
  <c r="F246" i="2" l="1"/>
  <c r="D257" i="2" s="1"/>
  <c r="D32" i="2"/>
  <c r="D31" i="2"/>
  <c r="B59" i="2" l="1"/>
  <c r="D59" i="2" s="1"/>
  <c r="G70" i="2" s="1"/>
  <c r="C16" i="3" s="1"/>
  <c r="D61" i="2"/>
  <c r="G72" i="2" s="1"/>
  <c r="D36" i="2"/>
  <c r="D35" i="2"/>
  <c r="B63" i="2" s="1"/>
  <c r="D63" i="2" s="1"/>
  <c r="G74" i="2" s="1"/>
  <c r="B510" i="2"/>
  <c r="E510" i="2" s="1"/>
  <c r="B511" i="2"/>
  <c r="E511" i="2" s="1"/>
  <c r="H72" i="2" l="1"/>
  <c r="C523" i="2"/>
  <c r="C526" i="2"/>
  <c r="C527" i="2"/>
  <c r="C522" i="2"/>
  <c r="B103" i="2" l="1"/>
  <c r="E103" i="2" s="1"/>
  <c r="D542" i="2"/>
  <c r="B95" i="2"/>
  <c r="B85" i="2"/>
  <c r="D85" i="2" s="1"/>
  <c r="B94" i="2"/>
  <c r="D94" i="2" s="1"/>
  <c r="C111" i="3"/>
  <c r="C111" i="4"/>
  <c r="B20" i="2"/>
  <c r="D20" i="2" s="1"/>
  <c r="D47" i="2"/>
  <c r="D48" i="2"/>
  <c r="B112" i="2" l="1"/>
  <c r="B336" i="2"/>
  <c r="C112" i="2"/>
  <c r="C336" i="2"/>
  <c r="D112" i="2"/>
  <c r="D336" i="2"/>
  <c r="C74" i="2"/>
  <c r="C75" i="2"/>
  <c r="B130" i="2"/>
  <c r="C40" i="3" l="1"/>
  <c r="C67" i="3" s="1"/>
  <c r="C40" i="4"/>
  <c r="C67" i="4" s="1"/>
  <c r="E112" i="2"/>
  <c r="B256" i="2" s="1"/>
  <c r="B307" i="2" s="1"/>
  <c r="E336" i="2"/>
  <c r="B345" i="2" s="1"/>
  <c r="D345" i="2" s="1"/>
  <c r="C402" i="2"/>
  <c r="C422" i="2"/>
  <c r="C348" i="2"/>
  <c r="C347" i="2"/>
  <c r="C344" i="2"/>
  <c r="E248" i="2"/>
  <c r="D248" i="2"/>
  <c r="E247" i="2"/>
  <c r="D247" i="2"/>
  <c r="E244" i="2"/>
  <c r="C48" i="4" s="1"/>
  <c r="D244" i="2"/>
  <c r="C47" i="4" s="1"/>
  <c r="E243" i="2"/>
  <c r="C48" i="3" s="1"/>
  <c r="D243" i="2"/>
  <c r="C47" i="3" s="1"/>
  <c r="C199" i="2"/>
  <c r="C198" i="2"/>
  <c r="C195" i="2"/>
  <c r="C194" i="2"/>
  <c r="D194" i="2" s="1"/>
  <c r="D203" i="2" s="1"/>
  <c r="C212" i="2" s="1"/>
  <c r="E179" i="2"/>
  <c r="C188" i="2" s="1"/>
  <c r="E178" i="2"/>
  <c r="C187" i="2" s="1"/>
  <c r="E175" i="2"/>
  <c r="C184" i="2" s="1"/>
  <c r="E174" i="2"/>
  <c r="C183" i="2" s="1"/>
  <c r="E165" i="2"/>
  <c r="B183" i="2" s="1"/>
  <c r="C166" i="2"/>
  <c r="C144" i="2"/>
  <c r="C147" i="2"/>
  <c r="C148" i="2"/>
  <c r="C143" i="2"/>
  <c r="C135" i="2"/>
  <c r="C138" i="2"/>
  <c r="C139" i="2"/>
  <c r="B136" i="2" l="1"/>
  <c r="D136" i="2" s="1"/>
  <c r="B154" i="2" s="1"/>
  <c r="B145" i="2"/>
  <c r="D145" i="2" s="1"/>
  <c r="B287" i="2" s="1"/>
  <c r="B278" i="2"/>
  <c r="B325" i="2"/>
  <c r="E166" i="2"/>
  <c r="B184" i="2" s="1"/>
  <c r="D184" i="2" s="1"/>
  <c r="D183" i="2"/>
  <c r="D198" i="2"/>
  <c r="D195" i="2"/>
  <c r="B212" i="2"/>
  <c r="D212" i="2" s="1"/>
  <c r="C84" i="2"/>
  <c r="C87" i="2"/>
  <c r="C88" i="2"/>
  <c r="C83" i="2"/>
  <c r="D102" i="2"/>
  <c r="D105" i="2"/>
  <c r="D106" i="2"/>
  <c r="D101" i="2"/>
  <c r="C102" i="2"/>
  <c r="C105" i="2"/>
  <c r="C106" i="2"/>
  <c r="C101" i="2"/>
  <c r="C93" i="2"/>
  <c r="C96" i="2"/>
  <c r="C97" i="2"/>
  <c r="C92" i="2"/>
  <c r="B75" i="2"/>
  <c r="B74" i="2"/>
  <c r="B71" i="2"/>
  <c r="C11" i="4" s="1"/>
  <c r="B70" i="2"/>
  <c r="C11" i="3" s="1"/>
  <c r="C48" i="2"/>
  <c r="C47" i="2"/>
  <c r="C43" i="2"/>
  <c r="C42" i="2"/>
  <c r="B19" i="2"/>
  <c r="D19" i="2" s="1"/>
  <c r="E70" i="2"/>
  <c r="C14" i="3" s="1"/>
  <c r="C278" i="2" l="1"/>
  <c r="D278" i="2" s="1"/>
  <c r="B316" i="2"/>
  <c r="D316" i="2" s="1"/>
  <c r="D325" i="2" s="1"/>
  <c r="C154" i="2"/>
  <c r="D154" i="2" s="1"/>
  <c r="C256" i="2" s="1"/>
  <c r="C307" i="2" s="1"/>
  <c r="C325" i="2" s="1"/>
  <c r="B296" i="2"/>
  <c r="D287" i="2"/>
  <c r="B244" i="2"/>
  <c r="C45" i="4" s="1"/>
  <c r="C243" i="2"/>
  <c r="C46" i="3" s="1"/>
  <c r="B243" i="2"/>
  <c r="C45" i="3" s="1"/>
  <c r="C71" i="2"/>
  <c r="C12" i="4" s="1"/>
  <c r="C70" i="2"/>
  <c r="C12" i="3" s="1"/>
  <c r="C18" i="3" s="1"/>
  <c r="E47" i="2"/>
  <c r="C52" i="2" s="1"/>
  <c r="E74" i="2"/>
  <c r="H74" i="2" s="1"/>
  <c r="E48" i="2"/>
  <c r="D199" i="2"/>
  <c r="D204" i="2"/>
  <c r="C213" i="2" s="1"/>
  <c r="B213" i="2"/>
  <c r="B216" i="2"/>
  <c r="D207" i="2"/>
  <c r="C216" i="2" s="1"/>
  <c r="E378" i="2"/>
  <c r="C394" i="2" s="1"/>
  <c r="E377" i="2"/>
  <c r="B393" i="2" s="1"/>
  <c r="E376" i="2"/>
  <c r="C392" i="2" s="1"/>
  <c r="E375" i="2"/>
  <c r="B391" i="2" s="1"/>
  <c r="E374" i="2"/>
  <c r="C390" i="2" s="1"/>
  <c r="E373" i="2"/>
  <c r="B389" i="2" s="1"/>
  <c r="E372" i="2"/>
  <c r="B388" i="2" s="1"/>
  <c r="E371" i="2"/>
  <c r="C387" i="2" s="1"/>
  <c r="E370" i="2"/>
  <c r="C386" i="2" s="1"/>
  <c r="E369" i="2"/>
  <c r="E368" i="2"/>
  <c r="B384" i="2" s="1"/>
  <c r="C383" i="2"/>
  <c r="B270" i="2"/>
  <c r="H70" i="2" l="1"/>
  <c r="C119" i="3"/>
  <c r="C296" i="2"/>
  <c r="E256" i="2"/>
  <c r="D543" i="2" s="1"/>
  <c r="B92" i="2"/>
  <c r="D92" i="2" s="1"/>
  <c r="B83" i="2"/>
  <c r="D83" i="2" s="1"/>
  <c r="B110" i="2" s="1"/>
  <c r="C25" i="3" s="1"/>
  <c r="D296" i="2"/>
  <c r="F325" i="2"/>
  <c r="D307" i="2"/>
  <c r="B105" i="2"/>
  <c r="E105" i="2" s="1"/>
  <c r="B96" i="2"/>
  <c r="D96" i="2" s="1"/>
  <c r="B87" i="2"/>
  <c r="D87" i="2" s="1"/>
  <c r="C53" i="2"/>
  <c r="F243" i="2"/>
  <c r="D254" i="2" s="1"/>
  <c r="C49" i="3"/>
  <c r="C56" i="3" s="1"/>
  <c r="E71" i="2"/>
  <c r="C14" i="4" s="1"/>
  <c r="E42" i="2"/>
  <c r="B52" i="2" s="1"/>
  <c r="D213" i="2"/>
  <c r="D216" i="2"/>
  <c r="C247" i="2" s="1"/>
  <c r="E43" i="2"/>
  <c r="B53" i="2" s="1"/>
  <c r="E75" i="2"/>
  <c r="B217" i="2"/>
  <c r="D208" i="2"/>
  <c r="C217" i="2" s="1"/>
  <c r="E169" i="2"/>
  <c r="B187" i="2" s="1"/>
  <c r="D187" i="2" s="1"/>
  <c r="B247" i="2" s="1"/>
  <c r="B386" i="2"/>
  <c r="B394" i="2"/>
  <c r="B383" i="2"/>
  <c r="C391" i="2"/>
  <c r="B392" i="2"/>
  <c r="B387" i="2"/>
  <c r="C389" i="2"/>
  <c r="B390" i="2"/>
  <c r="B385" i="2"/>
  <c r="C385" i="2"/>
  <c r="C388" i="2"/>
  <c r="C384" i="2"/>
  <c r="C393" i="2"/>
  <c r="B101" i="2" l="1"/>
  <c r="E101" i="2" s="1"/>
  <c r="D334" i="2" s="1"/>
  <c r="B542" i="2"/>
  <c r="F296" i="2"/>
  <c r="B356" i="2" s="1"/>
  <c r="C356" i="2"/>
  <c r="C244" i="2"/>
  <c r="D53" i="2"/>
  <c r="F75" i="2" s="1"/>
  <c r="B334" i="2"/>
  <c r="D52" i="2"/>
  <c r="C110" i="2"/>
  <c r="C334" i="2"/>
  <c r="F247" i="2"/>
  <c r="D258" i="2" s="1"/>
  <c r="D217" i="2"/>
  <c r="C248" i="2" s="1"/>
  <c r="E170" i="2"/>
  <c r="B188" i="2" s="1"/>
  <c r="D188" i="2" s="1"/>
  <c r="B248" i="2" s="1"/>
  <c r="C338" i="2"/>
  <c r="C114" i="2"/>
  <c r="B338" i="2"/>
  <c r="B114" i="2"/>
  <c r="D114" i="2"/>
  <c r="D338" i="2"/>
  <c r="B395" i="2"/>
  <c r="C412" i="2" s="1"/>
  <c r="C395" i="2"/>
  <c r="C413" i="2" s="1"/>
  <c r="D110" i="2" l="1"/>
  <c r="C26" i="3" s="1"/>
  <c r="C27" i="3" s="1"/>
  <c r="F244" i="2"/>
  <c r="C46" i="4"/>
  <c r="C49" i="4" s="1"/>
  <c r="B64" i="2"/>
  <c r="D64" i="2" s="1"/>
  <c r="G75" i="2" s="1"/>
  <c r="H75" i="2" s="1"/>
  <c r="D62" i="2"/>
  <c r="G73" i="2" s="1"/>
  <c r="F71" i="2"/>
  <c r="C15" i="4" s="1"/>
  <c r="B60" i="2"/>
  <c r="D60" i="2" s="1"/>
  <c r="G71" i="2" s="1"/>
  <c r="C16" i="4" s="1"/>
  <c r="E334" i="2"/>
  <c r="B343" i="2" s="1"/>
  <c r="D343" i="2" s="1"/>
  <c r="D354" i="2" s="1"/>
  <c r="F248" i="2"/>
  <c r="D259" i="2" s="1"/>
  <c r="E114" i="2"/>
  <c r="E338" i="2"/>
  <c r="B347" i="2" s="1"/>
  <c r="D347" i="2" s="1"/>
  <c r="C411" i="2"/>
  <c r="C415" i="2"/>
  <c r="C410" i="2"/>
  <c r="C414" i="2"/>
  <c r="E110" i="2" l="1"/>
  <c r="B143" i="2" s="1"/>
  <c r="C18" i="4"/>
  <c r="D255" i="2"/>
  <c r="C56" i="4"/>
  <c r="H73" i="2"/>
  <c r="D358" i="2"/>
  <c r="D356" i="2"/>
  <c r="E356" i="2" s="1"/>
  <c r="D544" i="2" s="1"/>
  <c r="B138" i="2"/>
  <c r="D138" i="2" s="1"/>
  <c r="B156" i="2" s="1"/>
  <c r="B147" i="2"/>
  <c r="D147" i="2" s="1"/>
  <c r="C280" i="2" s="1"/>
  <c r="C298" i="2" s="1"/>
  <c r="B106" i="2"/>
  <c r="E106" i="2" s="1"/>
  <c r="D339" i="2" s="1"/>
  <c r="D143" i="2"/>
  <c r="C276" i="2" s="1"/>
  <c r="C294" i="2" s="1"/>
  <c r="D63" i="3" s="1"/>
  <c r="B134" i="2"/>
  <c r="D134" i="2" s="1"/>
  <c r="B152" i="2" s="1"/>
  <c r="B88" i="2"/>
  <c r="D88" i="2" s="1"/>
  <c r="B115" i="2" s="1"/>
  <c r="B97" i="2"/>
  <c r="D97" i="2" s="1"/>
  <c r="C115" i="2" s="1"/>
  <c r="D95" i="2"/>
  <c r="H71" i="2"/>
  <c r="D35" i="3"/>
  <c r="D36" i="3"/>
  <c r="C54" i="3"/>
  <c r="D33" i="3"/>
  <c r="D37" i="3"/>
  <c r="D38" i="3"/>
  <c r="D39" i="3"/>
  <c r="D32" i="3"/>
  <c r="D34" i="3"/>
  <c r="B254" i="2"/>
  <c r="B305" i="2" s="1"/>
  <c r="B258" i="2"/>
  <c r="B309" i="2" s="1"/>
  <c r="B104" i="2" l="1"/>
  <c r="E104" i="2" s="1"/>
  <c r="D337" i="2" s="1"/>
  <c r="E542" i="2"/>
  <c r="B86" i="2"/>
  <c r="D86" i="2" s="1"/>
  <c r="B314" i="2"/>
  <c r="D314" i="2" s="1"/>
  <c r="D323" i="2" s="1"/>
  <c r="D68" i="3" s="1"/>
  <c r="B403" i="2"/>
  <c r="D403" i="2" s="1"/>
  <c r="B412" i="2" s="1"/>
  <c r="D412" i="2" s="1"/>
  <c r="E412" i="2" s="1"/>
  <c r="D113" i="2"/>
  <c r="C113" i="2"/>
  <c r="C337" i="2"/>
  <c r="B280" i="2"/>
  <c r="B298" i="2" s="1"/>
  <c r="B327" i="2"/>
  <c r="B276" i="2"/>
  <c r="B323" i="2"/>
  <c r="D66" i="3" s="1"/>
  <c r="C152" i="2"/>
  <c r="D152" i="2" s="1"/>
  <c r="C254" i="2" s="1"/>
  <c r="B285" i="2"/>
  <c r="D285" i="2" s="1"/>
  <c r="D294" i="2" s="1"/>
  <c r="D64" i="3" s="1"/>
  <c r="B102" i="2"/>
  <c r="E102" i="2" s="1"/>
  <c r="C542" i="2"/>
  <c r="B84" i="2"/>
  <c r="D84" i="2" s="1"/>
  <c r="B111" i="2" s="1"/>
  <c r="C25" i="4" s="1"/>
  <c r="B93" i="2"/>
  <c r="D93" i="2" s="1"/>
  <c r="D115" i="2"/>
  <c r="E115" i="2" s="1"/>
  <c r="B148" i="2" s="1"/>
  <c r="C339" i="2"/>
  <c r="B339" i="2"/>
  <c r="D40" i="3"/>
  <c r="C55" i="3" s="1"/>
  <c r="C57" i="3" s="1"/>
  <c r="C120" i="3" s="1"/>
  <c r="B318" i="2"/>
  <c r="D318" i="2" s="1"/>
  <c r="D327" i="2" s="1"/>
  <c r="B289" i="2"/>
  <c r="D289" i="2" s="1"/>
  <c r="C156" i="2"/>
  <c r="D156" i="2" s="1"/>
  <c r="C258" i="2" s="1"/>
  <c r="B113" i="2" l="1"/>
  <c r="B337" i="2"/>
  <c r="E337" i="2" s="1"/>
  <c r="B346" i="2" s="1"/>
  <c r="D346" i="2" s="1"/>
  <c r="B435" i="2"/>
  <c r="D148" i="2"/>
  <c r="C281" i="2" s="1"/>
  <c r="C299" i="2" s="1"/>
  <c r="B139" i="2"/>
  <c r="D139" i="2" s="1"/>
  <c r="B157" i="2" s="1"/>
  <c r="D276" i="2"/>
  <c r="D62" i="3"/>
  <c r="C119" i="4"/>
  <c r="B294" i="2"/>
  <c r="F294" i="2" s="1"/>
  <c r="B354" i="2" s="1"/>
  <c r="D298" i="2"/>
  <c r="F298" i="2" s="1"/>
  <c r="B358" i="2" s="1"/>
  <c r="E254" i="2"/>
  <c r="C305" i="2"/>
  <c r="C323" i="2" s="1"/>
  <c r="E258" i="2"/>
  <c r="C309" i="2"/>
  <c r="C327" i="2" s="1"/>
  <c r="F327" i="2" s="1"/>
  <c r="C358" i="2" s="1"/>
  <c r="D280" i="2"/>
  <c r="B259" i="2"/>
  <c r="B310" i="2" s="1"/>
  <c r="E339" i="2"/>
  <c r="B348" i="2" s="1"/>
  <c r="D348" i="2" s="1"/>
  <c r="C335" i="2"/>
  <c r="C111" i="2"/>
  <c r="D111" i="2"/>
  <c r="D335" i="2"/>
  <c r="B335" i="2"/>
  <c r="E113" i="2" l="1"/>
  <c r="B257" i="2" s="1"/>
  <c r="C26" i="4"/>
  <c r="D359" i="2"/>
  <c r="D357" i="2"/>
  <c r="B281" i="2"/>
  <c r="B299" i="2" s="1"/>
  <c r="B328" i="2"/>
  <c r="B319" i="2"/>
  <c r="D319" i="2" s="1"/>
  <c r="D328" i="2" s="1"/>
  <c r="B290" i="2"/>
  <c r="D290" i="2" s="1"/>
  <c r="D299" i="2" s="1"/>
  <c r="C157" i="2"/>
  <c r="D157" i="2" s="1"/>
  <c r="C259" i="2" s="1"/>
  <c r="F323" i="2"/>
  <c r="D67" i="3"/>
  <c r="D65" i="3"/>
  <c r="D305" i="2"/>
  <c r="D309" i="2"/>
  <c r="B543" i="2"/>
  <c r="E335" i="2"/>
  <c r="B344" i="2" s="1"/>
  <c r="D344" i="2" s="1"/>
  <c r="D355" i="2" s="1"/>
  <c r="E111" i="2"/>
  <c r="E358" i="2"/>
  <c r="B308" i="2" l="1"/>
  <c r="B326" i="2" s="1"/>
  <c r="B137" i="2"/>
  <c r="D137" i="2" s="1"/>
  <c r="B155" i="2" s="1"/>
  <c r="B279" i="2"/>
  <c r="B146" i="2"/>
  <c r="D146" i="2" s="1"/>
  <c r="C155" i="2" s="1"/>
  <c r="B405" i="2"/>
  <c r="D405" i="2" s="1"/>
  <c r="B414" i="2" s="1"/>
  <c r="D414" i="2" s="1"/>
  <c r="E414" i="2" s="1"/>
  <c r="B437" i="2" s="1"/>
  <c r="D437" i="2" s="1"/>
  <c r="B526" i="2" s="1"/>
  <c r="B135" i="2"/>
  <c r="D135" i="2" s="1"/>
  <c r="B153" i="2" s="1"/>
  <c r="B144" i="2"/>
  <c r="D144" i="2" s="1"/>
  <c r="C277" i="2" s="1"/>
  <c r="C295" i="2" s="1"/>
  <c r="D63" i="4" s="1"/>
  <c r="C354" i="2"/>
  <c r="D69" i="3"/>
  <c r="D70" i="3" s="1"/>
  <c r="C121" i="3" s="1"/>
  <c r="F299" i="2"/>
  <c r="B359" i="2" s="1"/>
  <c r="D281" i="2"/>
  <c r="E259" i="2"/>
  <c r="C310" i="2"/>
  <c r="C27" i="4"/>
  <c r="B255" i="2"/>
  <c r="B306" i="2" s="1"/>
  <c r="C54" i="4"/>
  <c r="D155" i="2" l="1"/>
  <c r="C257" i="2" s="1"/>
  <c r="C308" i="2" s="1"/>
  <c r="D308" i="2" s="1"/>
  <c r="B297" i="2"/>
  <c r="C279" i="2"/>
  <c r="D279" i="2" s="1"/>
  <c r="B288" i="2"/>
  <c r="B317" i="2"/>
  <c r="D317" i="2" s="1"/>
  <c r="D326" i="2" s="1"/>
  <c r="B277" i="2"/>
  <c r="B324" i="2"/>
  <c r="D66" i="4" s="1"/>
  <c r="E354" i="2"/>
  <c r="B421" i="2" s="1"/>
  <c r="D310" i="2"/>
  <c r="C328" i="2"/>
  <c r="F328" i="2" s="1"/>
  <c r="C359" i="2" s="1"/>
  <c r="E359" i="2" s="1"/>
  <c r="B286" i="2"/>
  <c r="D286" i="2" s="1"/>
  <c r="D295" i="2" s="1"/>
  <c r="D64" i="4" s="1"/>
  <c r="B315" i="2"/>
  <c r="D315" i="2" s="1"/>
  <c r="D324" i="2" s="1"/>
  <c r="D68" i="4" s="1"/>
  <c r="C153" i="2"/>
  <c r="D153" i="2" s="1"/>
  <c r="D36" i="4"/>
  <c r="D35" i="4"/>
  <c r="D34" i="4"/>
  <c r="D33" i="4"/>
  <c r="D37" i="4"/>
  <c r="D39" i="4"/>
  <c r="D38" i="4"/>
  <c r="D32" i="4"/>
  <c r="D526" i="2"/>
  <c r="B534" i="2" s="1"/>
  <c r="C297" i="2" l="1"/>
  <c r="E257" i="2"/>
  <c r="E543" i="2" s="1"/>
  <c r="C326" i="2"/>
  <c r="D288" i="2"/>
  <c r="D297" i="2" s="1"/>
  <c r="B406" i="2"/>
  <c r="D406" i="2" s="1"/>
  <c r="B415" i="2" s="1"/>
  <c r="D415" i="2" s="1"/>
  <c r="E415" i="2" s="1"/>
  <c r="B438" i="2" s="1"/>
  <c r="D438" i="2" s="1"/>
  <c r="B401" i="2"/>
  <c r="D401" i="2" s="1"/>
  <c r="B410" i="2" s="1"/>
  <c r="D410" i="2" s="1"/>
  <c r="E410" i="2" s="1"/>
  <c r="B544" i="2"/>
  <c r="D421" i="2"/>
  <c r="B426" i="2" s="1"/>
  <c r="D426" i="2" s="1"/>
  <c r="B295" i="2"/>
  <c r="F295" i="2" s="1"/>
  <c r="B355" i="2" s="1"/>
  <c r="D62" i="4"/>
  <c r="D277" i="2"/>
  <c r="D40" i="4"/>
  <c r="C55" i="4"/>
  <c r="C57" i="4" s="1"/>
  <c r="C255" i="2"/>
  <c r="D534" i="2"/>
  <c r="F297" i="2" l="1"/>
  <c r="F326" i="2"/>
  <c r="C357" i="2" s="1"/>
  <c r="B433" i="2"/>
  <c r="C77" i="3" s="1"/>
  <c r="C78" i="3" s="1"/>
  <c r="C89" i="3" s="1"/>
  <c r="B527" i="2"/>
  <c r="D527" i="2" s="1"/>
  <c r="B357" i="2"/>
  <c r="D435" i="2"/>
  <c r="D545" i="2" s="1"/>
  <c r="D65" i="4"/>
  <c r="C433" i="2"/>
  <c r="C83" i="3" s="1"/>
  <c r="C84" i="3" s="1"/>
  <c r="C90" i="3" s="1"/>
  <c r="C114" i="3"/>
  <c r="C126" i="3" s="1"/>
  <c r="C120" i="4"/>
  <c r="E255" i="2"/>
  <c r="C306" i="2"/>
  <c r="C100" i="4"/>
  <c r="B548" i="2"/>
  <c r="C100" i="3"/>
  <c r="C123" i="3" s="1"/>
  <c r="B535" i="2" l="1"/>
  <c r="D535" i="2" s="1"/>
  <c r="B524" i="2"/>
  <c r="D524" i="2" s="1"/>
  <c r="D547" i="2" s="1"/>
  <c r="D549" i="2" s="1"/>
  <c r="D550" i="2" s="1"/>
  <c r="E357" i="2"/>
  <c r="C543" i="2"/>
  <c r="C91" i="3"/>
  <c r="C122" i="3" s="1"/>
  <c r="D433" i="2"/>
  <c r="B522" i="2" s="1"/>
  <c r="C123" i="4"/>
  <c r="D306" i="2"/>
  <c r="C324" i="2"/>
  <c r="C124" i="3" l="1"/>
  <c r="C114" i="4"/>
  <c r="C126" i="4" s="1"/>
  <c r="C548" i="2"/>
  <c r="B404" i="2"/>
  <c r="D404" i="2" s="1"/>
  <c r="B413" i="2" s="1"/>
  <c r="D413" i="2" s="1"/>
  <c r="E413" i="2" s="1"/>
  <c r="E544" i="2"/>
  <c r="D522" i="2"/>
  <c r="B545" i="2"/>
  <c r="F324" i="2"/>
  <c r="D67" i="4"/>
  <c r="B436" i="2" l="1"/>
  <c r="D111" i="3"/>
  <c r="C125" i="3" s="1"/>
  <c r="C127" i="3" s="1"/>
  <c r="C128" i="3" s="1"/>
  <c r="B547" i="2"/>
  <c r="B549" i="2" s="1"/>
  <c r="C355" i="2"/>
  <c r="E355" i="2" s="1"/>
  <c r="B422" i="2" s="1"/>
  <c r="D69" i="4"/>
  <c r="D70" i="4" s="1"/>
  <c r="B550" i="2" l="1"/>
  <c r="E20" i="14"/>
  <c r="E13" i="14"/>
  <c r="E6" i="14"/>
  <c r="E27" i="14"/>
  <c r="B402" i="2"/>
  <c r="D402" i="2" s="1"/>
  <c r="B411" i="2" s="1"/>
  <c r="D411" i="2" s="1"/>
  <c r="E411" i="2" s="1"/>
  <c r="B434" i="2" s="1"/>
  <c r="C77" i="4" s="1"/>
  <c r="D422" i="2"/>
  <c r="B427" i="2" s="1"/>
  <c r="D427" i="2" s="1"/>
  <c r="C544" i="2"/>
  <c r="C121" i="4"/>
  <c r="F20" i="14" l="1"/>
  <c r="F6" i="14"/>
  <c r="F13" i="14"/>
  <c r="F27" i="14"/>
  <c r="C434" i="2"/>
  <c r="C83" i="4" s="1"/>
  <c r="C84" i="4" s="1"/>
  <c r="C90" i="4" s="1"/>
  <c r="D436" i="2"/>
  <c r="C78" i="4"/>
  <c r="C89" i="4" s="1"/>
  <c r="G27" i="14" l="1"/>
  <c r="G13" i="14"/>
  <c r="G6" i="14"/>
  <c r="G20" i="14"/>
  <c r="D434" i="2"/>
  <c r="B523" i="2" s="1"/>
  <c r="D523" i="2" s="1"/>
  <c r="B525" i="2"/>
  <c r="D525" i="2" s="1"/>
  <c r="E545" i="2"/>
  <c r="C91" i="4"/>
  <c r="H20" i="14" l="1"/>
  <c r="H13" i="14"/>
  <c r="H6" i="14"/>
  <c r="H27" i="14"/>
  <c r="C545" i="2"/>
  <c r="E547" i="2"/>
  <c r="E549" i="2" s="1"/>
  <c r="E550" i="2" s="1"/>
  <c r="C122" i="4"/>
  <c r="D111" i="4"/>
  <c r="C547" i="2"/>
  <c r="C124" i="4" l="1"/>
  <c r="C549" i="2"/>
  <c r="C125" i="4"/>
  <c r="C127" i="4" s="1"/>
  <c r="C128" i="4" s="1"/>
  <c r="C550" i="2" l="1"/>
  <c r="E21" i="14"/>
  <c r="E22" i="14" s="1"/>
  <c r="E28" i="14"/>
  <c r="E29" i="14" s="1"/>
  <c r="E14" i="14"/>
  <c r="E15" i="14" s="1"/>
  <c r="E7" i="14"/>
  <c r="E8" i="14" s="1"/>
  <c r="F28" i="14" l="1"/>
  <c r="F14" i="14"/>
  <c r="F21" i="14"/>
  <c r="F7" i="14"/>
  <c r="G7" i="14" l="1"/>
  <c r="F8" i="14"/>
  <c r="G21" i="14"/>
  <c r="F22" i="14"/>
  <c r="G14" i="14"/>
  <c r="F15" i="14"/>
  <c r="G28" i="14"/>
  <c r="F29" i="14"/>
  <c r="H28" i="14" l="1"/>
  <c r="H29" i="14" s="1"/>
  <c r="G29" i="14"/>
  <c r="H21" i="14"/>
  <c r="H22" i="14" s="1"/>
  <c r="G22" i="14"/>
  <c r="H14" i="14"/>
  <c r="H15" i="14" s="1"/>
  <c r="G15" i="14"/>
  <c r="H7" i="14"/>
  <c r="H8" i="14" s="1"/>
  <c r="G8" i="14"/>
  <c r="C35" i="14" l="1"/>
  <c r="C36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Scheyla Cristina de Souza Belmiro do Amaral</author>
  </authors>
  <commentList>
    <comment ref="B12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9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sobre o salário base, conforme definido em CCT, quando houver adicional de periculosidade ou insabubridade</t>
        </r>
      </text>
    </comment>
    <comment ref="C42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Considera hora noturna de 22h às 5h do dia segunte, portanto 7 horas noturnas de uma jornada de 12h. 
Base de cálculo de acordo com § 3º do Art. 73 da CLT</t>
        </r>
      </text>
    </comment>
    <comment ref="C47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47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50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68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82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90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C101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Corresponde ao previsto na Constituição. Adicional de 1/3 a mais do salário normal.
</t>
        </r>
      </text>
    </comment>
    <comment ref="A108" authorId="0" shapeId="0" xr:uid="{00000000-0006-0000-0100-00000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124" authorId="0" shapeId="0" xr:uid="{00000000-0006-0000-0100-00000D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C134" authorId="0" shapeId="0" xr:uid="{00000000-0006-0000-0100-00000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Corresponde ao somatório dos encargos para financiamento da seguridade social.
O percentual será alterado quando do preenchimento da aliquota do SAT/GIIL-RAT
</t>
        </r>
      </text>
    </comment>
    <comment ref="C143" authorId="0" shapeId="0" xr:uid="{00000000-0006-0000-0100-00000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Alíquota mensal de depóstio à título de FGTS, conforme Lei n° 8.036, de 1990.</t>
        </r>
      </text>
    </comment>
    <comment ref="A150" authorId="0" shapeId="0" xr:uid="{00000000-0006-0000-0100-00001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Totalização dos Encargos. Automatizada, desde que não haja alteração nas fórmulas e estrutura da planilha.</t>
        </r>
      </text>
    </comment>
    <comment ref="B164" authorId="0" shapeId="0" xr:uid="{00000000-0006-0000-0100-00001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D165" authorId="0" shapeId="0" xr:uid="{00000000-0006-0000-0100-00001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sugerido, depende de disposições constantes na CCT.</t>
        </r>
      </text>
    </comment>
    <comment ref="C173" authorId="0" shapeId="0" xr:uid="{00000000-0006-0000-0100-000013000000}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>O desconto poderá ser proporcional, conforme disposto no art. 10 do Decreto n° 95.247, de 1987.
O órgão contatante deverá apreciar o comportamento das empresas prestadoras de serviço e ajustar, conforme necessidade.</t>
        </r>
      </text>
    </comment>
    <comment ref="B193" authorId="0" shapeId="0" xr:uid="{00000000-0006-0000-0100-00001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194" authorId="0" shapeId="0" xr:uid="{00000000-0006-0000-0100-00001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sugerido, depende de disposições constantes na CCT.
</t>
        </r>
      </text>
    </comment>
    <comment ref="C202" authorId="0" shapeId="0" xr:uid="{00000000-0006-0000-0100-00001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B203" authorId="0" shapeId="0" xr:uid="{00000000-0006-0000-0100-00001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Observar Convenção Coletiva sobre base de cálculo, habitualmente o desconto é sobre o valor do benefício concedido.</t>
        </r>
      </text>
    </comment>
    <comment ref="A241" authorId="0" shapeId="0" xr:uid="{00000000-0006-0000-0100-00001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252" authorId="0" shapeId="0" xr:uid="{00000000-0006-0000-0100-00001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266" authorId="0" shapeId="0" xr:uid="{00000000-0006-0000-0100-00001A000000}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352" authorId="0" shapeId="0" xr:uid="{00000000-0006-0000-0100-00001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365" authorId="0" shapeId="0" xr:uid="{00000000-0006-0000-0100-00001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Probabilidade de ocorrência de ausência do profissional residente quando será necessária a presença de um repositor. O órgão deverá observar o histórico das contratações anteriores para estimar tais probabilidades.</t>
        </r>
      </text>
    </comment>
    <comment ref="C365" authorId="0" shapeId="0" xr:uid="{00000000-0006-0000-0100-00001D000000}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>Duração computada em dias, conforme previsão em legislação.</t>
        </r>
      </text>
    </comment>
    <comment ref="A380" authorId="0" shapeId="0" xr:uid="{00000000-0006-0000-0100-00001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383" authorId="0" shapeId="0" xr:uid="{00000000-0006-0000-0100-00001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408" authorId="0" shapeId="0" xr:uid="{00000000-0006-0000-0100-00002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431" authorId="0" shapeId="0" xr:uid="{00000000-0006-0000-0100-000021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443" authorId="0" shapeId="0" xr:uid="{00000000-0006-0000-0100-000022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466" authorId="0" shapeId="0" xr:uid="{00000000-0006-0000-0100-000023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515" authorId="0" shapeId="0" xr:uid="{00000000-0006-0000-0100-00002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539" authorId="0" shapeId="0" xr:uid="{00000000-0006-0000-0100-00002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<sst xmlns="http://schemas.openxmlformats.org/spreadsheetml/2006/main" count="1061" uniqueCount="364">
  <si>
    <t>SALÁRIO BASE</t>
  </si>
  <si>
    <t>Base de cálculo</t>
  </si>
  <si>
    <t>Percentual</t>
  </si>
  <si>
    <t>Categoria</t>
  </si>
  <si>
    <t>Valor</t>
  </si>
  <si>
    <t>MÓDULO 1 - REMUNERAÇÃO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</si>
  <si>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</si>
  <si>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</si>
  <si>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</si>
  <si>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</si>
  <si>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</si>
  <si>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</si>
  <si>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</si>
  <si>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</si>
  <si>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</si>
  <si>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</si>
  <si>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</si>
  <si>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</si>
  <si>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</si>
  <si>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</si>
  <si>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</si>
  <si>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</si>
  <si>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</si>
  <si>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</si>
  <si>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</si>
  <si>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</si>
  <si>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</si>
  <si>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</si>
  <si>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</si>
  <si>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</si>
  <si>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</si>
  <si>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</si>
  <si>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</si>
  <si>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</si>
  <si>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</si>
  <si>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</si>
  <si>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</si>
  <si>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</si>
  <si>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</si>
  <si>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</si>
  <si>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</si>
  <si>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</si>
  <si>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</si>
  <si>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</si>
  <si>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Valor diário</t>
  </si>
  <si>
    <t>DESCONTO DO VALE ALIMENTAÇÃO/REFEIÇÃO</t>
  </si>
  <si>
    <t>CUSTO EFETIVO DO VALE ALIMENTAÇÃO/REFEIÇÃO</t>
  </si>
  <si>
    <t>MÓDULO 3 - PROVISÃO PARA RESCISÃO</t>
  </si>
  <si>
    <t>PERCENTUAIS POR TIPO DE
 DESLIGAMENTO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</si>
  <si>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</si>
  <si>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</si>
  <si>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</si>
  <si>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</si>
  <si>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</si>
  <si>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</si>
  <si>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</si>
  <si>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</si>
  <si>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</si>
  <si>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</si>
  <si>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</si>
  <si>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</si>
  <si>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</si>
  <si>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</si>
  <si>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</si>
  <si>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</si>
  <si>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</si>
  <si>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</si>
  <si>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</si>
  <si>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</si>
  <si>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</si>
  <si>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</si>
  <si>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</si>
  <si>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</si>
  <si>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</si>
  <si>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</si>
  <si>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</si>
  <si>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</si>
  <si>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Incidencia anual</t>
  </si>
  <si>
    <t>Duração Legal  
da Ausência</t>
  </si>
  <si>
    <t>12x36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</si>
  <si>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</si>
  <si>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</si>
  <si>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</si>
  <si>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</si>
  <si>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</si>
  <si>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</si>
  <si>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</si>
  <si>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</si>
  <si>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</si>
  <si>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</si>
  <si>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</si>
  <si>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</si>
  <si>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</si>
  <si>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</si>
  <si>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</si>
  <si>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</si>
  <si>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</si>
  <si>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</si>
  <si>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</si>
  <si>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</si>
  <si>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</si>
  <si>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</si>
  <si>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</si>
  <si>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</si>
  <si>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</si>
  <si>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</si>
  <si>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</si>
  <si>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</si>
  <si>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</si>
  <si>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</si>
  <si>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</si>
  <si>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</si>
  <si>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</si>
  <si>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</si>
  <si>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12x36 Diurno</t>
  </si>
  <si>
    <t>12x36 Noturno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</si>
  <si>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</si>
  <si>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</si>
  <si>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</si>
  <si>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</si>
  <si>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</si>
  <si>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</si>
  <si>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</si>
  <si>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Valor por Posto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</si>
  <si>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</si>
  <si>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</si>
  <si>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</si>
  <si>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</si>
  <si>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</si>
  <si>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</si>
  <si>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</si>
  <si>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Valor da Gratificação</t>
  </si>
  <si>
    <t>Cargo B (12x36 Diurno)</t>
  </si>
  <si>
    <t>Cargo B (12x36 Noturno)</t>
  </si>
  <si>
    <t>13° SALÁRIO
Previsto no Decreto 57.155, de 1965.</t>
  </si>
  <si>
    <t>FÉRIAS
Previsto no art. 7° da Constituição Federal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</si>
  <si>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</si>
  <si>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</si>
  <si>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</si>
  <si>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</si>
  <si>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</si>
  <si>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</si>
  <si>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</si>
  <si>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</si>
  <si>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</si>
  <si>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</si>
  <si>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</si>
  <si>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>Calça</t>
  </si>
  <si>
    <t>Camisa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</si>
  <si>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</si>
  <si>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</si>
  <si>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</si>
  <si>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</si>
  <si>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</si>
  <si>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</si>
  <si>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</si>
  <si>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</si>
  <si>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</si>
  <si>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</si>
  <si>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</si>
  <si>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</si>
  <si>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</si>
  <si>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</si>
  <si>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</si>
  <si>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</si>
  <si>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</si>
  <si>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</si>
  <si>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</si>
  <si>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</si>
  <si>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</si>
  <si>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</si>
  <si>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</si>
  <si>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</si>
  <si>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</si>
  <si>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</si>
  <si>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</si>
  <si>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</si>
  <si>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</si>
  <si>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</si>
  <si>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</si>
  <si>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</si>
  <si>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</si>
  <si>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</si>
  <si>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</si>
  <si>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</si>
  <si>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</si>
  <si>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</si>
  <si>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</si>
  <si>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</si>
  <si>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</si>
  <si>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</si>
  <si>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</si>
  <si>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</si>
  <si>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</si>
  <si>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</si>
  <si>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</si>
  <si>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</si>
  <si>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</si>
  <si>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</si>
  <si>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</si>
  <si>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</si>
  <si>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</si>
  <si>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</si>
  <si>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</si>
  <si>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</si>
  <si>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</si>
  <si>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</si>
  <si>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</si>
  <si>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</si>
  <si>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</si>
  <si>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</si>
  <si>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</si>
  <si>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</si>
  <si>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</si>
  <si>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</si>
  <si>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</si>
  <si>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</si>
  <si>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</si>
  <si>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</si>
  <si>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</si>
  <si>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</si>
  <si>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</si>
  <si>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BENEFÍCIO yyy</t>
  </si>
  <si>
    <t>Benefício y</t>
  </si>
  <si>
    <t>* Previsto no art. 195 da Constituição Federal. 
* Os percentuais informados não são taxativos e deverão observar o enquadramento real das empresas prestadoras de serviço, em especial no que diz respeito ao SAT-GIIL/RAT.</t>
  </si>
  <si>
    <t>* Para os casos em que há Supervisor e este não for contratado como um posto de trabalho, a exemplo dos serviços de vigilância patrimonial, seu custo deverá ser rateado pelo total de empregados supervisionados, conforme disposição do Anexo VII-D da Insrução Normativa n° 5, de 2017.</t>
  </si>
  <si>
    <t>Com ajustes após publicação da Lei n° 13.467, de 2017.</t>
  </si>
  <si>
    <t>Intervalo para repouso e alimentação</t>
  </si>
  <si>
    <t>ADICIONAL DE PERICULOSIDADE</t>
  </si>
  <si>
    <t>SERVIÇO</t>
  </si>
  <si>
    <t>Posto de vigilância armada, 12 horas diurnas, jornada de 12x36, de segunda-feira a domingo totalizando 360 horas mensais.</t>
  </si>
  <si>
    <t>Posto de vigilância armada, 12 horas noturnas, jornada de 12x36, de segunda-feira a domingo totalizando 360 horas mensais.</t>
  </si>
  <si>
    <t>Vigilante</t>
  </si>
  <si>
    <t>Supervisor</t>
  </si>
  <si>
    <t>Vigilante (12x36 Diurno)</t>
  </si>
  <si>
    <t>Supervisor (12x36 Diurno)</t>
  </si>
  <si>
    <t>Supervisor (12x36 Noturno)</t>
  </si>
  <si>
    <t>Vigilante (12x36 Noturno)</t>
  </si>
  <si>
    <t>Superviso (12x36 Noturno)</t>
  </si>
  <si>
    <t>Valor do Posto diurno (12x36)</t>
  </si>
  <si>
    <t>Especificação do Posto</t>
  </si>
  <si>
    <t>CUSTO VALE ALIMENTAÇÃO/REFEIÇÃO</t>
  </si>
  <si>
    <t>AVISO PRÉVIO INDENIZADO + FGTS DO AVISO PRÉVIO</t>
  </si>
  <si>
    <t>Incidência FGTS</t>
  </si>
  <si>
    <t>Custo do Aviso Prévio</t>
  </si>
  <si>
    <t>Multa FGTS</t>
  </si>
  <si>
    <t>Percentual de Incidência</t>
  </si>
  <si>
    <t>AVISO PRÉVIO TRABALHADO +  ENCARGOS E BENEFÍCIOS DO AVISO PRÉVIO TRABALHADO</t>
  </si>
  <si>
    <t>Incidência dos Encargos Submódulo 2.2</t>
  </si>
  <si>
    <t>MULTA DO FGTS SOBRE O AVISO PRÉVIO TRABALHADO</t>
  </si>
  <si>
    <t>Incidência Submódulo 2,2</t>
  </si>
  <si>
    <t>ESCALAS</t>
  </si>
  <si>
    <t>Total Aviso Prévio Indenizado</t>
  </si>
  <si>
    <t>Total Aviso Prévio Trabalhado</t>
  </si>
  <si>
    <t>RATEIO CHEFIA DE CAMPO</t>
  </si>
  <si>
    <t>Rateio Chefia de Campo</t>
  </si>
  <si>
    <t xml:space="preserve">Outros </t>
  </si>
  <si>
    <t>Outros</t>
  </si>
  <si>
    <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</si>
  <si>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Vigilante Motorizado (12x36 Diurno)</t>
  </si>
  <si>
    <t>VIGILANTE</t>
  </si>
  <si>
    <t>VIGILANTE MOTORIZADO</t>
  </si>
  <si>
    <t>RATEIO DO SUPERVISOR</t>
  </si>
  <si>
    <t>Supervisor - Vigilante Líder</t>
  </si>
  <si>
    <t xml:space="preserve">ADICIONAL NOTURNO </t>
  </si>
  <si>
    <t>GRATIFICAÇÃO DE FUNÇÃO E ADICIONAIS</t>
  </si>
  <si>
    <t xml:space="preserve">ADICIONAL </t>
  </si>
  <si>
    <t>VALE ALIMENTAÇÃO/REFEIÇÃO - Cláusula 15ª TACCT 2023/2024</t>
  </si>
  <si>
    <t xml:space="preserve">CUSTO BENEFÍCIO PROGRAMA FAMILIAR  E SAUDE -  CARD SAÚDE- ABRAPS BOMBANK </t>
  </si>
  <si>
    <t>Horas</t>
  </si>
  <si>
    <t>Especificação</t>
  </si>
  <si>
    <t>Unidades</t>
  </si>
  <si>
    <t>Quant. Anual</t>
  </si>
  <si>
    <t>Valor Unit. R$</t>
  </si>
  <si>
    <t>Valor Médio Anual</t>
  </si>
  <si>
    <t>Unid.</t>
  </si>
  <si>
    <t>Par</t>
  </si>
  <si>
    <t>Valor Mensal por Trabalhador</t>
  </si>
  <si>
    <t>Coturno</t>
  </si>
  <si>
    <t>Boné</t>
  </si>
  <si>
    <t>Cinto de Nylon</t>
  </si>
  <si>
    <t>Jaqueta</t>
  </si>
  <si>
    <t>Meia</t>
  </si>
  <si>
    <t>Crachá</t>
  </si>
  <si>
    <t>Capa de Chuva</t>
  </si>
  <si>
    <t>Capa de Colete</t>
  </si>
  <si>
    <t>Valor Médio Mensal</t>
  </si>
  <si>
    <t>Valor Anual por Trabalhador</t>
  </si>
  <si>
    <t>Cinto de Guarnição</t>
  </si>
  <si>
    <t>Livro de Ocorrência</t>
  </si>
  <si>
    <t>Cassetete</t>
  </si>
  <si>
    <t>Porta cassetete</t>
  </si>
  <si>
    <t>Apito com Cordão</t>
  </si>
  <si>
    <t>Lanterna Com Bateria sobressalente</t>
  </si>
  <si>
    <t>Munição</t>
  </si>
  <si>
    <t>Colete (Placa)</t>
  </si>
  <si>
    <t>Rádio Comunicador</t>
  </si>
  <si>
    <t>Bastão de Ronda Eletrônica</t>
  </si>
  <si>
    <t>Prancheta</t>
  </si>
  <si>
    <t>Caneta</t>
  </si>
  <si>
    <t>Quantidade Anual</t>
  </si>
  <si>
    <t>Valor Anual</t>
  </si>
  <si>
    <t xml:space="preserve">MATERIAIS - COMPOSIÇÃO - VALOR ANUAL </t>
  </si>
  <si>
    <t>Custo com Materiais</t>
  </si>
  <si>
    <t>Custo com Equipamentos - Depreciação</t>
  </si>
  <si>
    <t>Vida Útil (meses)</t>
  </si>
  <si>
    <t>Duração dos itens - em meses (vida útil)</t>
  </si>
  <si>
    <t>MATERIAIS - Por Posto</t>
  </si>
  <si>
    <t>UNIFORMES - Por Vigilante</t>
  </si>
  <si>
    <t>EQUIPAMENTOS - DEPRECIAÇÃO - Por Posto</t>
  </si>
  <si>
    <t>Valor Depreciação Mensal</t>
  </si>
  <si>
    <t>Valor Anual por Posto</t>
  </si>
  <si>
    <t>Valor Mensal por Posto</t>
  </si>
  <si>
    <t>Custo anual por Posto</t>
  </si>
  <si>
    <t>TOTAL DE VIGILANTES</t>
  </si>
  <si>
    <t>TOTAL DE POSTOS</t>
  </si>
  <si>
    <t>Valor Anual do Contrato</t>
  </si>
  <si>
    <t>Valor Mensal do Contrato</t>
  </si>
  <si>
    <t>Valor Mensal Por Posto</t>
  </si>
  <si>
    <t>Valor Mensal Por Vigilante</t>
  </si>
  <si>
    <t>Quantidade de Vigilantes</t>
  </si>
  <si>
    <t>Quantidade de Postos</t>
  </si>
  <si>
    <t>RESUMO - ESTIMATIVA DE PREÇO</t>
  </si>
  <si>
    <t>Revolver Calibre 38</t>
  </si>
  <si>
    <t>MATERIAIS</t>
  </si>
  <si>
    <t>Depreciação Mensal</t>
  </si>
  <si>
    <t>EQUIPAMENTOS - Depreciação</t>
  </si>
  <si>
    <t>VALOR GLOBAL MENSAL</t>
  </si>
  <si>
    <t>VALOR GLOBAL ANUAL</t>
  </si>
  <si>
    <t>LOTE 02 - CAMPUS TRÊS LAGOAS -ESTIMATIVA  DE PREÇOS</t>
  </si>
  <si>
    <t xml:space="preserve">LOTE 02 - CAMPUS TRÊS LAGOAS -ESTIMATIVA  DE PREÇOS </t>
  </si>
  <si>
    <t>CONFORME CONVENÇÃO COLETIVA DE TRABALHO 2024/2026 - NÚMERO DE REGISTRO NO MTE: MS000168/2024</t>
  </si>
  <si>
    <t>SALÁRIO BASE - Cláusula 3ª, CCT 2024/2026</t>
  </si>
  <si>
    <t>GRATIFICAÇÃO DE FUNÇÃO E ADICIONAIS - Cláusula 12ª CCT 2024/2026, § 1º, Alínea a</t>
  </si>
  <si>
    <t>GRATIFICAÇÃO DE FUNÇÃO E ADICIONAIS - Cláusula 12ª CCT 2024/2026, § 2º, Alínea a</t>
  </si>
  <si>
    <t>ADICIONAIS (periculosidade ou insalubridade, se houver)  - Cláusula 14º CCT 2024/2026</t>
  </si>
  <si>
    <t>ADICIONAL NOTURNO - Cláusula 13ª CCT 2024/2026</t>
  </si>
  <si>
    <t>ADICIONAL - Clausula 31º, § 4º - CCT 2024/2026</t>
  </si>
  <si>
    <t>Salário Base - Cláusula 3ª, CCT 2024/2026</t>
  </si>
  <si>
    <t xml:space="preserve">Gratificação de Função e Adicional -  Cláusula 12ª CCT 2024/2026, § 1º, Alínea a </t>
  </si>
  <si>
    <t xml:space="preserve">Gratificação de Função e Adicional -  Cláusula 12ª CCT 2024/2026, § 2º, Alínea a </t>
  </si>
  <si>
    <t>Adicional de   Periculosidade   - Cláusula 14º CCT 2024/2026</t>
  </si>
  <si>
    <t>Adicional Noturno - Cláusula 13ª CCT 2024/2026</t>
  </si>
  <si>
    <t>Adicional - Clausula 31º, § 4º - CCT 2024/2026</t>
  </si>
  <si>
    <t>VALE TRANSPORTE - Cláusula 16ª CCT 2024/2026</t>
  </si>
  <si>
    <t>Vale Transporte - Cláusula 16ª CCT 2024/2026</t>
  </si>
  <si>
    <t>Vale Refeição - Cláusula 15ª CCT 2024/2026</t>
  </si>
  <si>
    <t xml:space="preserve"> Card Saúde- Abraps Bombank - Clausula 58º CCT 2024/2026</t>
  </si>
  <si>
    <t>BENEFÍCIO PROGRAMA FAMILIAR E SAÚDE - Cláusula 58ª CCT 2024/2026</t>
  </si>
  <si>
    <t>Vigilante Motorizado(12x36 Noturno)</t>
  </si>
  <si>
    <t>CÂMPUS BONITO - PROPOSTA DE PREÇO</t>
  </si>
  <si>
    <t>CPBO- Posto de vigilância armada, de 12 horas diurnas, jornada de 12x36, de segunda-feira a domingo, totalizando 360 horas mensais.</t>
  </si>
  <si>
    <t>CPBO- Posto de vigilância armada, de 12 horas noturnas, jornada de 12x36, de segunda-feira a domingo, totalizando 360 horas mensais.</t>
  </si>
  <si>
    <t>CÂMPUS COXIM - PROPOSTA DE PREÇO</t>
  </si>
  <si>
    <t>CPCX- Posto de vigilância armada, de 12 horas diurnas, jornada de 12x36, de segunda-feira a domingo, totalizando 360 horas mensais.</t>
  </si>
  <si>
    <t>CPCX- Posto de vigilância armada, de 12 horas noturnas, jornada de 12x36, de segunda-feira a domingo, totalizando 360 horas mensais.</t>
  </si>
  <si>
    <t>CÂMPUS CHAPADÃO DO SUL - PROPOSTA DE PREÇO</t>
  </si>
  <si>
    <t>CPCS- Posto de vigilância armada, de 12 horas diurnas, jornada de 12x36, de segunda-feira a domingo, totalizando 360 horas mensais.</t>
  </si>
  <si>
    <t>CPCS- Posto de vigilância armada, de 12 horas noturnas, jornada de 12x36, de segunda-feira a domingo, totalizando 360 horas mensais.</t>
  </si>
  <si>
    <t>CÂMPUS PARANAÍBA - PROPOSTA DE PREÇO</t>
  </si>
  <si>
    <t>CPAR- Posto de vigilância armada, de 12 horas diurnas, jornada de 12x36, de segunda-feira a domingo, totalizando 360 horas mensais.</t>
  </si>
  <si>
    <t>CPAR- Posto de vigilância armada, de 12 horas noturnas, jornada de 12x36, de segunda-feira a domingo, totalizando 360 horas mensais.</t>
  </si>
  <si>
    <t>LOTE 03 - CPBO/CPCX/CPCS/CPAR - ESTIMATIVA  DE PREÇOS</t>
  </si>
  <si>
    <t>LOTE 03 - CPBO/CPCX/CPCS/CPAR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</si>
</sst>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_ ;\-#,##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2"/>
      <color rgb="FF00B050"/>
      <name val="Times New Roman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Calibri"/>
      <family val="2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CC2E5"/>
        <bgColor rgb="FF9CC2E5"/>
      </patternFill>
    </fill>
    <fill>
      <patternFill patternType="solid">
        <fgColor theme="4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9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41" applyNumberFormat="0" applyFill="0" applyAlignment="0" applyProtection="0"/>
    <xf numFmtId="0" fontId="9" fillId="0" borderId="42" applyNumberFormat="0" applyFill="0" applyAlignment="0" applyProtection="0"/>
    <xf numFmtId="0" fontId="10" fillId="0" borderId="43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44" applyNumberFormat="0" applyAlignment="0" applyProtection="0"/>
    <xf numFmtId="0" fontId="15" fillId="9" borderId="45" applyNumberFormat="0" applyAlignment="0" applyProtection="0"/>
    <xf numFmtId="0" fontId="16" fillId="9" borderId="44" applyNumberFormat="0" applyAlignment="0" applyProtection="0"/>
    <xf numFmtId="0" fontId="17" fillId="0" borderId="46" applyNumberFormat="0" applyFill="0" applyAlignment="0" applyProtection="0"/>
    <xf numFmtId="0" fontId="18" fillId="10" borderId="47" applyNumberFormat="0" applyAlignment="0" applyProtection="0"/>
    <xf numFmtId="0" fontId="19" fillId="0" borderId="0" applyNumberFormat="0" applyFill="0" applyBorder="0" applyAlignment="0" applyProtection="0"/>
    <xf numFmtId="0" fontId="1" fillId="11" borderId="4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49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</cellStyleXfs>
  <cellXfs count="432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2" fillId="0" borderId="5" xfId="0" applyNumberFormat="1" applyFont="1" applyBorder="1" applyAlignment="1">
      <alignment horizontal="center" vertical="center"/>
    </xf>
    <xf numFmtId="40" fontId="3" fillId="0" borderId="12" xfId="0" applyNumberFormat="1" applyFont="1" applyBorder="1" applyAlignment="1">
      <alignment horizontal="center" vertical="center"/>
    </xf>
    <xf numFmtId="40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39" fontId="3" fillId="0" borderId="12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" fillId="38" borderId="4" xfId="0" applyFont="1" applyFill="1" applyBorder="1" applyAlignment="1">
      <alignment horizontal="center" vertical="center" wrapText="1"/>
    </xf>
    <xf numFmtId="10" fontId="3" fillId="38" borderId="5" xfId="1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0" fontId="3" fillId="0" borderId="12" xfId="1" applyNumberFormat="1" applyFont="1" applyFill="1" applyBorder="1" applyAlignment="1" applyProtection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167" fontId="3" fillId="0" borderId="0" xfId="3" applyFont="1" applyFill="1" applyBorder="1" applyAlignment="1" applyProtection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1" fontId="29" fillId="0" borderId="14" xfId="3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" fontId="29" fillId="0" borderId="1" xfId="3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10" fontId="3" fillId="36" borderId="5" xfId="1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4" fontId="29" fillId="37" borderId="14" xfId="3" applyNumberFormat="1" applyFont="1" applyFill="1" applyBorder="1" applyAlignment="1">
      <alignment horizontal="center" vertical="center"/>
    </xf>
    <xf numFmtId="4" fontId="29" fillId="37" borderId="1" xfId="3" applyNumberFormat="1" applyFont="1" applyFill="1" applyBorder="1" applyAlignment="1">
      <alignment horizontal="center" vertical="center"/>
    </xf>
    <xf numFmtId="0" fontId="2" fillId="40" borderId="16" xfId="0" applyFont="1" applyFill="1" applyBorder="1" applyAlignment="1">
      <alignment horizontal="center" vertical="center"/>
    </xf>
    <xf numFmtId="10" fontId="2" fillId="40" borderId="17" xfId="1" applyNumberFormat="1" applyFont="1" applyFill="1" applyBorder="1" applyAlignment="1">
      <alignment horizontal="center" vertical="center"/>
    </xf>
    <xf numFmtId="10" fontId="3" fillId="36" borderId="12" xfId="0" applyNumberFormat="1" applyFont="1" applyFill="1" applyBorder="1" applyAlignment="1">
      <alignment horizontal="center" vertical="center"/>
    </xf>
    <xf numFmtId="10" fontId="3" fillId="36" borderId="1" xfId="0" applyNumberFormat="1" applyFont="1" applyFill="1" applyBorder="1" applyAlignment="1">
      <alignment horizontal="center" vertical="center"/>
    </xf>
    <xf numFmtId="10" fontId="3" fillId="36" borderId="13" xfId="0" applyNumberFormat="1" applyFont="1" applyFill="1" applyBorder="1" applyAlignment="1">
      <alignment horizontal="center" vertical="center"/>
    </xf>
    <xf numFmtId="0" fontId="28" fillId="3" borderId="10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43" fontId="3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horizontal="center" vertical="center" wrapText="1"/>
    </xf>
    <xf numFmtId="8" fontId="28" fillId="0" borderId="0" xfId="0" applyNumberFormat="1" applyFont="1" applyAlignment="1">
      <alignment horizontal="center" vertical="center"/>
    </xf>
    <xf numFmtId="43" fontId="33" fillId="0" borderId="0" xfId="2" applyFont="1" applyBorder="1"/>
    <xf numFmtId="43" fontId="2" fillId="0" borderId="52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right" vertical="center" wrapText="1"/>
    </xf>
    <xf numFmtId="43" fontId="2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vertical="center" wrapText="1"/>
    </xf>
    <xf numFmtId="43" fontId="2" fillId="0" borderId="52" xfId="0" applyNumberFormat="1" applyFont="1" applyBorder="1" applyAlignment="1">
      <alignment vertical="center" wrapText="1"/>
    </xf>
    <xf numFmtId="43" fontId="3" fillId="0" borderId="40" xfId="0" applyNumberFormat="1" applyFont="1" applyBorder="1" applyAlignment="1">
      <alignment vertical="center" wrapText="1"/>
    </xf>
    <xf numFmtId="43" fontId="3" fillId="0" borderId="0" xfId="0" applyNumberFormat="1" applyFont="1"/>
    <xf numFmtId="2" fontId="2" fillId="0" borderId="5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43" fontId="2" fillId="0" borderId="31" xfId="0" applyNumberFormat="1" applyFont="1" applyBorder="1" applyAlignment="1">
      <alignment vertical="center" wrapText="1"/>
    </xf>
    <xf numFmtId="43" fontId="0" fillId="0" borderId="0" xfId="0" applyNumberFormat="1"/>
    <xf numFmtId="0" fontId="4" fillId="2" borderId="22" xfId="0" applyFont="1" applyFill="1" applyBorder="1" applyAlignment="1">
      <alignment horizontal="center" vertical="justify"/>
    </xf>
    <xf numFmtId="9" fontId="27" fillId="0" borderId="12" xfId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/>
    </xf>
    <xf numFmtId="9" fontId="3" fillId="0" borderId="14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4" fontId="3" fillId="0" borderId="60" xfId="0" applyNumberFormat="1" applyFont="1" applyBorder="1" applyAlignment="1">
      <alignment horizontal="center" vertical="center"/>
    </xf>
    <xf numFmtId="10" fontId="3" fillId="0" borderId="60" xfId="1" applyNumberFormat="1" applyFont="1" applyBorder="1" applyAlignment="1">
      <alignment horizontal="center" vertical="center"/>
    </xf>
    <xf numFmtId="9" fontId="3" fillId="0" borderId="60" xfId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0" fontId="3" fillId="0" borderId="15" xfId="1" applyNumberFormat="1" applyFont="1" applyBorder="1" applyAlignment="1">
      <alignment horizontal="center" vertical="center"/>
    </xf>
    <xf numFmtId="9" fontId="3" fillId="0" borderId="15" xfId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43" borderId="63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 wrapText="1"/>
    </xf>
    <xf numFmtId="0" fontId="2" fillId="43" borderId="65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43" borderId="69" xfId="0" applyFont="1" applyFill="1" applyBorder="1" applyAlignment="1">
      <alignment horizontal="center" vertical="center"/>
    </xf>
    <xf numFmtId="0" fontId="2" fillId="43" borderId="65" xfId="0" applyFont="1" applyFill="1" applyBorder="1" applyAlignment="1">
      <alignment horizontal="center" vertical="center" wrapText="1"/>
    </xf>
    <xf numFmtId="0" fontId="2" fillId="43" borderId="70" xfId="0" applyFont="1" applyFill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2" fillId="43" borderId="70" xfId="0" applyFont="1" applyFill="1" applyBorder="1" applyAlignment="1">
      <alignment horizontal="center" vertical="center" wrapText="1"/>
    </xf>
    <xf numFmtId="0" fontId="2" fillId="43" borderId="71" xfId="0" applyFont="1" applyFill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2" fillId="43" borderId="73" xfId="0" applyFont="1" applyFill="1" applyBorder="1" applyAlignment="1">
      <alignment horizontal="center" vertical="center"/>
    </xf>
    <xf numFmtId="0" fontId="2" fillId="43" borderId="74" xfId="0" applyFont="1" applyFill="1" applyBorder="1" applyAlignment="1">
      <alignment horizontal="center" vertical="center" wrapText="1"/>
    </xf>
    <xf numFmtId="0" fontId="2" fillId="43" borderId="74" xfId="0" applyFont="1" applyFill="1" applyBorder="1" applyAlignment="1">
      <alignment horizontal="center" vertical="center"/>
    </xf>
    <xf numFmtId="0" fontId="2" fillId="43" borderId="75" xfId="0" applyFont="1" applyFill="1" applyBorder="1" applyAlignment="1">
      <alignment horizontal="center" vertical="center"/>
    </xf>
    <xf numFmtId="10" fontId="3" fillId="0" borderId="14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 wrapText="1"/>
    </xf>
    <xf numFmtId="10" fontId="3" fillId="0" borderId="60" xfId="1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0" fontId="3" fillId="0" borderId="15" xfId="1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7" fontId="4" fillId="3" borderId="20" xfId="0" applyNumberFormat="1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2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43" fontId="3" fillId="0" borderId="12" xfId="2" applyFont="1" applyBorder="1" applyAlignment="1">
      <alignment horizontal="center" vertical="center" wrapText="1"/>
    </xf>
    <xf numFmtId="43" fontId="3" fillId="0" borderId="3" xfId="2" applyFont="1" applyBorder="1" applyAlignment="1">
      <alignment horizontal="center" vertical="center" wrapText="1"/>
    </xf>
    <xf numFmtId="43" fontId="3" fillId="0" borderId="5" xfId="2" applyFont="1" applyBorder="1" applyAlignment="1">
      <alignment horizontal="center" vertical="center" wrapText="1"/>
    </xf>
    <xf numFmtId="0" fontId="3" fillId="0" borderId="25" xfId="0" applyFont="1" applyBorder="1" applyAlignment="1">
      <alignment horizontal="justify" vertical="center" wrapText="1"/>
    </xf>
    <xf numFmtId="43" fontId="3" fillId="0" borderId="25" xfId="2" applyFont="1" applyBorder="1" applyAlignment="1">
      <alignment horizontal="center" vertical="center" wrapText="1"/>
    </xf>
    <xf numFmtId="43" fontId="3" fillId="0" borderId="26" xfId="2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0" fontId="3" fillId="0" borderId="25" xfId="2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justify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43" fontId="2" fillId="0" borderId="0" xfId="2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" fontId="3" fillId="0" borderId="72" xfId="0" applyNumberFormat="1" applyFont="1" applyBorder="1" applyAlignment="1">
      <alignment horizontal="right" vertical="center" wrapText="1"/>
    </xf>
    <xf numFmtId="4" fontId="2" fillId="0" borderId="7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justify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43" fontId="3" fillId="0" borderId="14" xfId="2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/>
    </xf>
    <xf numFmtId="167" fontId="4" fillId="3" borderId="32" xfId="3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3" fontId="3" fillId="0" borderId="12" xfId="3" applyNumberFormat="1" applyFont="1" applyFill="1" applyBorder="1" applyAlignment="1" applyProtection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165" fontId="2" fillId="2" borderId="11" xfId="0" applyNumberFormat="1" applyFont="1" applyFill="1" applyBorder="1" applyAlignment="1">
      <alignment horizontal="center" vertical="center" wrapText="1"/>
    </xf>
    <xf numFmtId="39" fontId="3" fillId="0" borderId="13" xfId="5" applyNumberFormat="1" applyFont="1" applyFill="1" applyBorder="1" applyAlignment="1" applyProtection="1">
      <alignment horizontal="center" vertical="center"/>
    </xf>
    <xf numFmtId="10" fontId="3" fillId="0" borderId="13" xfId="1" applyNumberFormat="1" applyFont="1" applyFill="1" applyBorder="1" applyAlignment="1" applyProtection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0" fontId="3" fillId="0" borderId="38" xfId="1" applyNumberFormat="1" applyFont="1" applyBorder="1" applyAlignment="1">
      <alignment horizontal="center" vertical="center"/>
    </xf>
    <xf numFmtId="9" fontId="3" fillId="0" borderId="38" xfId="1" applyFont="1" applyBorder="1" applyAlignment="1">
      <alignment horizontal="center" vertical="center"/>
    </xf>
    <xf numFmtId="164" fontId="2" fillId="0" borderId="52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1" fontId="3" fillId="0" borderId="77" xfId="0" applyNumberFormat="1" applyFont="1" applyBorder="1" applyAlignment="1">
      <alignment horizontal="center" vertical="center"/>
    </xf>
    <xf numFmtId="1" fontId="3" fillId="0" borderId="58" xfId="0" applyNumberFormat="1" applyFont="1" applyBorder="1" applyAlignment="1">
      <alignment horizontal="center" vertical="center"/>
    </xf>
    <xf numFmtId="1" fontId="3" fillId="0" borderId="79" xfId="0" applyNumberFormat="1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5" fillId="39" borderId="1" xfId="48" applyFont="1" applyFill="1" applyBorder="1" applyAlignment="1">
      <alignment horizontal="center" vertical="center"/>
    </xf>
    <xf numFmtId="43" fontId="35" fillId="45" borderId="81" xfId="0" applyNumberFormat="1" applyFont="1" applyFill="1" applyBorder="1" applyAlignment="1">
      <alignment vertical="center"/>
    </xf>
    <xf numFmtId="0" fontId="35" fillId="39" borderId="1" xfId="48" applyFont="1" applyFill="1" applyBorder="1" applyAlignment="1">
      <alignment vertical="center"/>
    </xf>
    <xf numFmtId="167" fontId="37" fillId="46" borderId="6" xfId="3" applyFont="1" applyFill="1" applyBorder="1" applyAlignment="1">
      <alignment vertical="center"/>
    </xf>
    <xf numFmtId="1" fontId="1" fillId="39" borderId="4" xfId="48" applyNumberFormat="1" applyFont="1" applyFill="1" applyBorder="1" applyAlignment="1">
      <alignment horizontal="center" vertical="center"/>
    </xf>
    <xf numFmtId="3" fontId="3" fillId="0" borderId="14" xfId="3" applyNumberFormat="1" applyFont="1" applyFill="1" applyBorder="1" applyAlignment="1" applyProtection="1">
      <alignment horizontal="center" vertical="center"/>
    </xf>
    <xf numFmtId="4" fontId="27" fillId="0" borderId="9" xfId="0" applyNumberFormat="1" applyFont="1" applyBorder="1" applyAlignment="1">
      <alignment horizontal="center" vertical="center"/>
    </xf>
    <xf numFmtId="0" fontId="38" fillId="2" borderId="2" xfId="48" applyFont="1" applyFill="1" applyBorder="1" applyAlignment="1">
      <alignment horizontal="center" vertical="center" wrapText="1"/>
    </xf>
    <xf numFmtId="0" fontId="38" fillId="2" borderId="12" xfId="48" applyFont="1" applyFill="1" applyBorder="1" applyAlignment="1">
      <alignment horizontal="center" vertical="center" wrapText="1"/>
    </xf>
    <xf numFmtId="167" fontId="38" fillId="2" borderId="3" xfId="3" applyFont="1" applyFill="1" applyBorder="1" applyAlignment="1">
      <alignment horizontal="center" vertical="center" wrapText="1"/>
    </xf>
    <xf numFmtId="0" fontId="38" fillId="0" borderId="18" xfId="48" applyFont="1" applyBorder="1" applyAlignment="1">
      <alignment horizontal="center" vertical="center" wrapText="1"/>
    </xf>
    <xf numFmtId="0" fontId="38" fillId="0" borderId="32" xfId="48" applyFont="1" applyBorder="1" applyAlignment="1">
      <alignment horizontal="center" vertical="center" wrapText="1"/>
    </xf>
    <xf numFmtId="0" fontId="37" fillId="2" borderId="6" xfId="48" applyFont="1" applyFill="1" applyBorder="1" applyAlignment="1">
      <alignment vertical="center"/>
    </xf>
    <xf numFmtId="0" fontId="37" fillId="2" borderId="13" xfId="48" applyFont="1" applyFill="1" applyBorder="1" applyAlignment="1">
      <alignment vertical="center"/>
    </xf>
    <xf numFmtId="0" fontId="37" fillId="2" borderId="13" xfId="48" applyFont="1" applyFill="1" applyBorder="1" applyAlignment="1">
      <alignment horizontal="center" vertical="center"/>
    </xf>
    <xf numFmtId="167" fontId="37" fillId="2" borderId="7" xfId="3" applyFont="1" applyFill="1" applyBorder="1" applyAlignment="1">
      <alignment vertical="center"/>
    </xf>
    <xf numFmtId="167" fontId="37" fillId="46" borderId="84" xfId="3" applyFont="1" applyFill="1" applyBorder="1" applyAlignment="1">
      <alignment vertical="center"/>
    </xf>
    <xf numFmtId="167" fontId="39" fillId="46" borderId="54" xfId="3" applyFont="1" applyFill="1" applyBorder="1" applyAlignment="1">
      <alignment vertical="center"/>
    </xf>
    <xf numFmtId="167" fontId="39" fillId="46" borderId="85" xfId="3" applyFont="1" applyFill="1" applyBorder="1" applyAlignment="1">
      <alignment vertical="center"/>
    </xf>
    <xf numFmtId="167" fontId="39" fillId="46" borderId="29" xfId="3" applyFont="1" applyFill="1" applyBorder="1" applyAlignment="1">
      <alignment vertical="center"/>
    </xf>
    <xf numFmtId="167" fontId="39" fillId="46" borderId="86" xfId="3" applyFont="1" applyFill="1" applyBorder="1" applyAlignment="1">
      <alignment vertical="center"/>
    </xf>
    <xf numFmtId="0" fontId="28" fillId="3" borderId="11" xfId="0" applyFont="1" applyFill="1" applyBorder="1" applyAlignment="1">
      <alignment horizontal="center" vertical="center" wrapText="1"/>
    </xf>
    <xf numFmtId="4" fontId="29" fillId="0" borderId="9" xfId="3" applyNumberFormat="1" applyFont="1" applyBorder="1" applyAlignment="1">
      <alignment horizontal="center" vertical="center"/>
    </xf>
    <xf numFmtId="4" fontId="29" fillId="0" borderId="5" xfId="3" applyNumberFormat="1" applyFont="1" applyBorder="1" applyAlignment="1">
      <alignment horizontal="center" vertical="center"/>
    </xf>
    <xf numFmtId="168" fontId="40" fillId="0" borderId="33" xfId="0" applyNumberFormat="1" applyFont="1" applyBorder="1" applyAlignment="1">
      <alignment horizontal="center"/>
    </xf>
    <xf numFmtId="0" fontId="40" fillId="0" borderId="33" xfId="0" applyFont="1" applyBorder="1" applyAlignment="1">
      <alignment horizontal="center"/>
    </xf>
    <xf numFmtId="168" fontId="40" fillId="0" borderId="32" xfId="0" applyNumberFormat="1" applyFont="1" applyBorder="1" applyAlignment="1">
      <alignment horizontal="center"/>
    </xf>
    <xf numFmtId="0" fontId="40" fillId="0" borderId="32" xfId="0" applyFont="1" applyBorder="1" applyAlignment="1">
      <alignment horizontal="center"/>
    </xf>
    <xf numFmtId="43" fontId="31" fillId="0" borderId="11" xfId="2" applyFont="1" applyBorder="1" applyAlignment="1" applyProtection="1">
      <alignment vertical="center"/>
    </xf>
    <xf numFmtId="43" fontId="31" fillId="0" borderId="15" xfId="2" applyFont="1" applyBorder="1" applyAlignment="1" applyProtection="1">
      <alignment vertical="center"/>
    </xf>
    <xf numFmtId="168" fontId="31" fillId="0" borderId="15" xfId="2" applyNumberFormat="1" applyFont="1" applyBorder="1" applyAlignment="1" applyProtection="1">
      <alignment horizontal="center" vertical="center"/>
    </xf>
    <xf numFmtId="43" fontId="31" fillId="0" borderId="15" xfId="2" applyFont="1" applyBorder="1" applyAlignment="1" applyProtection="1">
      <alignment horizontal="center" vertical="center" wrapText="1"/>
    </xf>
    <xf numFmtId="43" fontId="31" fillId="0" borderId="10" xfId="2" applyFont="1" applyBorder="1" applyAlignment="1" applyProtection="1">
      <alignment horizontal="center" vertical="center" wrapText="1"/>
    </xf>
    <xf numFmtId="43" fontId="32" fillId="0" borderId="26" xfId="2" applyFont="1" applyBorder="1" applyAlignment="1" applyProtection="1">
      <alignment vertical="center"/>
    </xf>
    <xf numFmtId="43" fontId="32" fillId="0" borderId="25" xfId="2" applyFont="1" applyBorder="1" applyAlignment="1" applyProtection="1">
      <alignment vertical="center"/>
    </xf>
    <xf numFmtId="168" fontId="32" fillId="0" borderId="25" xfId="2" applyNumberFormat="1" applyFont="1" applyBorder="1" applyAlignment="1" applyProtection="1">
      <alignment horizontal="center" vertical="center"/>
    </xf>
    <xf numFmtId="43" fontId="32" fillId="0" borderId="25" xfId="2" applyFont="1" applyBorder="1" applyAlignment="1" applyProtection="1">
      <alignment vertical="center" wrapText="1"/>
    </xf>
    <xf numFmtId="1" fontId="32" fillId="0" borderId="24" xfId="2" applyNumberFormat="1" applyFont="1" applyBorder="1" applyAlignment="1" applyProtection="1">
      <alignment horizontal="center" vertical="center" wrapText="1"/>
    </xf>
    <xf numFmtId="43" fontId="32" fillId="0" borderId="9" xfId="2" applyFont="1" applyBorder="1" applyAlignment="1" applyProtection="1">
      <alignment vertical="center"/>
    </xf>
    <xf numFmtId="43" fontId="32" fillId="0" borderId="14" xfId="2" applyFont="1" applyBorder="1" applyAlignment="1" applyProtection="1">
      <alignment vertical="center"/>
    </xf>
    <xf numFmtId="168" fontId="32" fillId="0" borderId="14" xfId="2" applyNumberFormat="1" applyFont="1" applyBorder="1" applyAlignment="1" applyProtection="1">
      <alignment horizontal="center" vertical="center"/>
    </xf>
    <xf numFmtId="43" fontId="32" fillId="0" borderId="14" xfId="2" applyFont="1" applyBorder="1" applyAlignment="1" applyProtection="1">
      <alignment vertical="center" wrapText="1"/>
    </xf>
    <xf numFmtId="43" fontId="31" fillId="2" borderId="11" xfId="2" applyFont="1" applyFill="1" applyBorder="1" applyAlignment="1" applyProtection="1">
      <alignment horizontal="center" vertical="center" wrapText="1"/>
    </xf>
    <xf numFmtId="43" fontId="31" fillId="2" borderId="15" xfId="2" applyFont="1" applyFill="1" applyBorder="1" applyAlignment="1" applyProtection="1">
      <alignment horizontal="center" vertical="center" wrapText="1"/>
    </xf>
    <xf numFmtId="43" fontId="31" fillId="2" borderId="10" xfId="2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43" fontId="35" fillId="47" borderId="81" xfId="0" applyNumberFormat="1" applyFont="1" applyFill="1" applyBorder="1" applyAlignment="1">
      <alignment vertical="center"/>
    </xf>
    <xf numFmtId="43" fontId="35" fillId="0" borderId="81" xfId="0" applyNumberFormat="1" applyFont="1" applyBorder="1" applyAlignment="1">
      <alignment vertical="center"/>
    </xf>
    <xf numFmtId="4" fontId="3" fillId="0" borderId="12" xfId="3" applyNumberFormat="1" applyFont="1" applyFill="1" applyBorder="1" applyAlignment="1" applyProtection="1">
      <alignment horizontal="center" vertical="center"/>
    </xf>
    <xf numFmtId="4" fontId="4" fillId="0" borderId="3" xfId="3" applyNumberFormat="1" applyFont="1" applyFill="1" applyBorder="1" applyAlignment="1" applyProtection="1">
      <alignment horizontal="center" vertical="center"/>
    </xf>
    <xf numFmtId="4" fontId="3" fillId="0" borderId="13" xfId="3" applyNumberFormat="1" applyFont="1" applyFill="1" applyBorder="1" applyAlignment="1" applyProtection="1">
      <alignment horizontal="center" vertical="center"/>
    </xf>
    <xf numFmtId="4" fontId="4" fillId="0" borderId="7" xfId="3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27" fillId="0" borderId="5" xfId="0" applyNumberFormat="1" applyFont="1" applyBorder="1" applyAlignment="1">
      <alignment horizontal="center" vertical="center"/>
    </xf>
    <xf numFmtId="4" fontId="27" fillId="0" borderId="7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2" fillId="2" borderId="31" xfId="0" applyFont="1" applyFill="1" applyBorder="1" applyAlignment="1">
      <alignment horizontal="center"/>
    </xf>
    <xf numFmtId="167" fontId="35" fillId="0" borderId="83" xfId="3" applyFont="1" applyFill="1" applyBorder="1" applyAlignment="1">
      <alignment vertical="center"/>
    </xf>
    <xf numFmtId="167" fontId="35" fillId="0" borderId="4" xfId="3" applyFont="1" applyFill="1" applyBorder="1" applyAlignment="1">
      <alignment vertical="center"/>
    </xf>
    <xf numFmtId="167" fontId="35" fillId="0" borderId="2" xfId="3" applyFont="1" applyFill="1" applyBorder="1" applyAlignment="1">
      <alignment vertical="center"/>
    </xf>
    <xf numFmtId="167" fontId="35" fillId="0" borderId="78" xfId="3" applyFont="1" applyFill="1" applyBorder="1" applyAlignment="1">
      <alignment vertical="center"/>
    </xf>
    <xf numFmtId="166" fontId="2" fillId="0" borderId="3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166" fontId="2" fillId="0" borderId="7" xfId="2" applyNumberFormat="1" applyFont="1" applyFill="1" applyBorder="1" applyAlignment="1">
      <alignment horizontal="center" vertical="center" wrapText="1"/>
    </xf>
    <xf numFmtId="10" fontId="27" fillId="0" borderId="5" xfId="1" applyNumberFormat="1" applyFont="1" applyFill="1" applyBorder="1" applyAlignment="1">
      <alignment horizontal="center" vertical="center"/>
    </xf>
    <xf numFmtId="10" fontId="27" fillId="0" borderId="7" xfId="1" applyNumberFormat="1" applyFont="1" applyFill="1" applyBorder="1" applyAlignment="1">
      <alignment horizontal="center" vertical="center"/>
    </xf>
    <xf numFmtId="164" fontId="2" fillId="48" borderId="11" xfId="0" applyNumberFormat="1" applyFont="1" applyFill="1" applyBorder="1" applyAlignment="1">
      <alignment horizontal="center" vertical="center"/>
    </xf>
    <xf numFmtId="164" fontId="2" fillId="48" borderId="17" xfId="0" applyNumberFormat="1" applyFont="1" applyFill="1" applyBorder="1" applyAlignment="1">
      <alignment horizontal="center" vertical="center"/>
    </xf>
    <xf numFmtId="164" fontId="3" fillId="48" borderId="78" xfId="0" applyNumberFormat="1" applyFont="1" applyFill="1" applyBorder="1" applyAlignment="1">
      <alignment horizontal="center" vertical="center"/>
    </xf>
    <xf numFmtId="164" fontId="3" fillId="48" borderId="33" xfId="0" applyNumberFormat="1" applyFont="1" applyFill="1" applyBorder="1" applyAlignment="1">
      <alignment horizontal="center" vertical="center"/>
    </xf>
    <xf numFmtId="10" fontId="2" fillId="0" borderId="52" xfId="0" applyNumberFormat="1" applyFont="1" applyBorder="1" applyAlignment="1">
      <alignment horizontal="center" vertical="center" wrapText="1"/>
    </xf>
    <xf numFmtId="164" fontId="3" fillId="48" borderId="3" xfId="0" applyNumberFormat="1" applyFont="1" applyFill="1" applyBorder="1" applyAlignment="1">
      <alignment horizontal="center" vertical="center"/>
    </xf>
    <xf numFmtId="164" fontId="3" fillId="48" borderId="7" xfId="0" applyNumberFormat="1" applyFont="1" applyFill="1" applyBorder="1" applyAlignment="1">
      <alignment horizontal="center" vertical="center"/>
    </xf>
    <xf numFmtId="164" fontId="43" fillId="2" borderId="27" xfId="0" applyNumberFormat="1" applyFont="1" applyFill="1" applyBorder="1" applyAlignment="1">
      <alignment horizontal="center" vertical="center"/>
    </xf>
    <xf numFmtId="164" fontId="43" fillId="2" borderId="29" xfId="0" applyNumberFormat="1" applyFont="1" applyFill="1" applyBorder="1" applyAlignment="1">
      <alignment horizontal="center" vertical="center"/>
    </xf>
    <xf numFmtId="0" fontId="31" fillId="2" borderId="27" xfId="0" applyFont="1" applyFill="1" applyBorder="1" applyAlignment="1">
      <alignment horizontal="center"/>
    </xf>
    <xf numFmtId="0" fontId="31" fillId="2" borderId="28" xfId="0" applyFont="1" applyFill="1" applyBorder="1" applyAlignment="1">
      <alignment horizontal="center"/>
    </xf>
    <xf numFmtId="0" fontId="31" fillId="2" borderId="29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41" borderId="0" xfId="0" applyFont="1" applyFill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43" borderId="27" xfId="0" applyFont="1" applyFill="1" applyBorder="1" applyAlignment="1">
      <alignment horizontal="center" vertical="center"/>
    </xf>
    <xf numFmtId="0" fontId="36" fillId="0" borderId="28" xfId="0" applyFont="1" applyBorder="1"/>
    <xf numFmtId="0" fontId="36" fillId="0" borderId="29" xfId="0" applyFont="1" applyBorder="1"/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43" borderId="61" xfId="0" applyFont="1" applyFill="1" applyBorder="1" applyAlignment="1">
      <alignment horizontal="center" vertical="center"/>
    </xf>
    <xf numFmtId="0" fontId="36" fillId="0" borderId="62" xfId="0" applyFont="1" applyBorder="1"/>
    <xf numFmtId="0" fontId="36" fillId="0" borderId="66" xfId="0" applyFont="1" applyBorder="1"/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30" fillId="41" borderId="0" xfId="0" applyFont="1" applyFill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left" vertical="center" wrapText="1"/>
    </xf>
    <xf numFmtId="0" fontId="2" fillId="43" borderId="67" xfId="0" applyFont="1" applyFill="1" applyBorder="1" applyAlignment="1">
      <alignment horizontal="center" vertical="center"/>
    </xf>
    <xf numFmtId="0" fontId="36" fillId="0" borderId="68" xfId="0" applyFont="1" applyBorder="1"/>
    <xf numFmtId="0" fontId="2" fillId="2" borderId="0" xfId="0" applyFont="1" applyFill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39" borderId="0" xfId="0" applyFont="1" applyFill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39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left" vertical="justify"/>
    </xf>
    <xf numFmtId="0" fontId="34" fillId="0" borderId="28" xfId="0" applyFont="1" applyBorder="1" applyAlignment="1">
      <alignment horizontal="left" vertical="justify"/>
    </xf>
    <xf numFmtId="0" fontId="34" fillId="0" borderId="29" xfId="0" applyFont="1" applyBorder="1" applyAlignment="1">
      <alignment horizontal="left" vertical="justify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4" fillId="42" borderId="27" xfId="0" applyFont="1" applyFill="1" applyBorder="1" applyAlignment="1">
      <alignment horizontal="center" vertical="justify"/>
    </xf>
    <xf numFmtId="0" fontId="34" fillId="42" borderId="28" xfId="0" applyFont="1" applyFill="1" applyBorder="1" applyAlignment="1">
      <alignment horizontal="center" vertical="justify"/>
    </xf>
    <xf numFmtId="0" fontId="34" fillId="42" borderId="29" xfId="0" applyFont="1" applyFill="1" applyBorder="1" applyAlignment="1">
      <alignment horizontal="center" vertical="justify"/>
    </xf>
    <xf numFmtId="0" fontId="37" fillId="2" borderId="39" xfId="48" applyFont="1" applyFill="1" applyBorder="1" applyAlignment="1">
      <alignment horizontal="center" vertical="center"/>
    </xf>
    <xf numFmtId="0" fontId="37" fillId="2" borderId="37" xfId="48" applyFont="1" applyFill="1" applyBorder="1" applyAlignment="1">
      <alignment horizontal="center" vertical="center"/>
    </xf>
    <xf numFmtId="0" fontId="37" fillId="2" borderId="76" xfId="48" applyFont="1" applyFill="1" applyBorder="1" applyAlignment="1">
      <alignment horizontal="center" vertical="center"/>
    </xf>
    <xf numFmtId="0" fontId="37" fillId="2" borderId="82" xfId="48" applyFont="1" applyFill="1" applyBorder="1" applyAlignment="1">
      <alignment horizontal="center" vertical="center"/>
    </xf>
    <xf numFmtId="0" fontId="37" fillId="44" borderId="27" xfId="48" applyFont="1" applyFill="1" applyBorder="1" applyAlignment="1">
      <alignment horizontal="center" vertical="center"/>
    </xf>
    <xf numFmtId="0" fontId="37" fillId="44" borderId="28" xfId="48" applyFont="1" applyFill="1" applyBorder="1" applyAlignment="1">
      <alignment horizontal="center" vertical="center"/>
    </xf>
    <xf numFmtId="0" fontId="37" fillId="44" borderId="29" xfId="48" applyFont="1" applyFill="1" applyBorder="1" applyAlignment="1">
      <alignment horizontal="center" vertical="center"/>
    </xf>
    <xf numFmtId="0" fontId="37" fillId="2" borderId="2" xfId="48" applyFont="1" applyFill="1" applyBorder="1" applyAlignment="1">
      <alignment horizontal="center" vertical="center"/>
    </xf>
    <xf numFmtId="0" fontId="37" fillId="2" borderId="12" xfId="48" applyFont="1" applyFill="1" applyBorder="1" applyAlignment="1">
      <alignment horizontal="center" vertical="center"/>
    </xf>
    <xf numFmtId="0" fontId="37" fillId="2" borderId="6" xfId="48" applyFont="1" applyFill="1" applyBorder="1" applyAlignment="1">
      <alignment horizontal="center" vertical="center"/>
    </xf>
    <xf numFmtId="0" fontId="37" fillId="2" borderId="13" xfId="48" applyFont="1" applyFill="1" applyBorder="1" applyAlignment="1">
      <alignment horizontal="center" vertical="center"/>
    </xf>
    <xf numFmtId="0" fontId="37" fillId="2" borderId="53" xfId="48" applyFont="1" applyFill="1" applyBorder="1" applyAlignment="1">
      <alignment horizontal="center" vertical="center"/>
    </xf>
    <xf numFmtId="0" fontId="37" fillId="2" borderId="87" xfId="48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1" fillId="0" borderId="27" xfId="0" applyFont="1" applyBorder="1" applyAlignment="1">
      <alignment horizontal="center"/>
    </xf>
    <xf numFmtId="0" fontId="41" fillId="0" borderId="28" xfId="0" applyFont="1" applyBorder="1" applyAlignment="1">
      <alignment horizontal="center"/>
    </xf>
    <xf numFmtId="0" fontId="41" fillId="0" borderId="29" xfId="0" applyFont="1" applyBorder="1" applyAlignment="1">
      <alignment horizontal="center"/>
    </xf>
  </cellXfs>
  <cellStyles count="54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Neutro" xfId="13" builtinId="28" customBuiltin="1"/>
    <cellStyle name="Normal" xfId="0" builtinId="0"/>
    <cellStyle name="Normal 2" xfId="48" xr:uid="{00000000-0005-0000-0000-000020000000}"/>
    <cellStyle name="Normal 3" xfId="53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4" xfId="4" xr:uid="{00000000-0005-0000-0000-000031000000}"/>
    <cellStyle name="Vírgula 4 2" xfId="50" xr:uid="{00000000-0005-0000-0000-000032000000}"/>
    <cellStyle name="Vírgula 5" xfId="47" xr:uid="{00000000-0005-0000-0000-000033000000}"/>
    <cellStyle name="Vírgula 5 2" xfId="52" xr:uid="{00000000-0005-0000-0000-000034000000}"/>
    <cellStyle name="Vírgula 6" xfId="49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H36"/>
  <sheetViews>
    <sheetView tabSelected="1" topLeftCell="A13" workbookViewId="0">
      <selection sqref="A1:H1"/>
    </sheetView>
  </sheetViews>
  <sheetFormatPr defaultRowHeight="15" x14ac:dyDescent="0.25"/>
  <cols>
    <col min="1" max="1" width="8.140625" customWidth="1"/>
    <col min="2" max="2" width="72.85546875" customWidth="1"/>
    <col min="3" max="3" width="16.5703125" customWidth="1"/>
    <col min="4" max="4" width="17.28515625" customWidth="1"/>
    <col min="5" max="5" width="14.85546875" customWidth="1"/>
    <col min="6" max="6" width="14.28515625" customWidth="1"/>
    <col min="7" max="7" width="16.28515625" customWidth="1"/>
    <col min="8" max="8" width="16.7109375" customWidth="1"/>
  </cols>
  <sheetData>
    <row r="1" spans="1:8" ht="24" thickBot="1" x14ac:dyDescent="0.4">
      <c r="A1" s="370" t="s">
        <v>363</v>
      </c>
      <c r="B1" s="370"/>
      <c r="C1" s="370"/>
      <c r="D1" s="370"/>
      <c r="E1" s="370"/>
      <c r="F1" s="370"/>
      <c r="G1" s="370"/>
      <c r="H1" s="370"/>
    </row>
    <row r="2" spans="1:8" ht="24" customHeight="1" thickBot="1" x14ac:dyDescent="0.35">
      <c r="A2" s="429" t="s">
        <v>322</v>
      </c>
      <c r="B2" s="430"/>
      <c r="C2" s="430"/>
      <c r="D2" s="430"/>
      <c r="E2" s="430"/>
      <c r="F2" s="430"/>
      <c r="G2" s="430"/>
      <c r="H2" s="431"/>
    </row>
    <row r="3" spans="1:8" ht="16.5" thickBot="1" x14ac:dyDescent="0.3">
      <c r="A3" s="340"/>
      <c r="B3" s="340"/>
    </row>
    <row r="4" spans="1:8" ht="16.5" thickBot="1" x14ac:dyDescent="0.3">
      <c r="A4" s="337" t="s">
        <v>350</v>
      </c>
      <c r="B4" s="338"/>
      <c r="C4" s="338"/>
      <c r="D4" s="338"/>
      <c r="E4" s="338"/>
      <c r="F4" s="338"/>
      <c r="G4" s="338"/>
      <c r="H4" s="339"/>
    </row>
    <row r="5" spans="1:8" ht="48" thickBot="1" x14ac:dyDescent="0.3">
      <c r="A5" s="301" t="s">
        <v>144</v>
      </c>
      <c r="B5" s="300" t="s">
        <v>229</v>
      </c>
      <c r="C5" s="300" t="s">
        <v>321</v>
      </c>
      <c r="D5" s="300" t="s">
        <v>320</v>
      </c>
      <c r="E5" s="300" t="s">
        <v>319</v>
      </c>
      <c r="F5" s="300" t="s">
        <v>318</v>
      </c>
      <c r="G5" s="300" t="s">
        <v>317</v>
      </c>
      <c r="H5" s="299" t="s">
        <v>316</v>
      </c>
    </row>
    <row r="6" spans="1:8" ht="31.5" x14ac:dyDescent="0.25">
      <c r="A6" s="294">
        <v>1</v>
      </c>
      <c r="B6" s="298" t="s">
        <v>351</v>
      </c>
      <c r="C6" s="297">
        <v>1</v>
      </c>
      <c r="D6" s="297">
        <f>C6*2</f>
        <v>2</v>
      </c>
      <c r="E6" s="296">
        <f>'Custo por trabalhador'!B549</f>
        <v>6649.87</v>
      </c>
      <c r="F6" s="296">
        <f>'Custo por trabalhador'!B550</f>
        <v>13299.74</v>
      </c>
      <c r="G6" s="296">
        <f>F6*C6</f>
        <v>13299.74</v>
      </c>
      <c r="H6" s="295">
        <f>G6*12</f>
        <v>159596.88</v>
      </c>
    </row>
    <row r="7" spans="1:8" ht="32.25" thickBot="1" x14ac:dyDescent="0.3">
      <c r="A7" s="294">
        <v>2</v>
      </c>
      <c r="B7" s="293" t="s">
        <v>352</v>
      </c>
      <c r="C7" s="292">
        <v>1</v>
      </c>
      <c r="D7" s="292">
        <f>C7*2</f>
        <v>2</v>
      </c>
      <c r="E7" s="296">
        <f>'Custo por trabalhador'!C549</f>
        <v>7559.89</v>
      </c>
      <c r="F7" s="291">
        <f>'Custo por trabalhador'!C550</f>
        <v>15119.78</v>
      </c>
      <c r="G7" s="291">
        <f>F7*C7</f>
        <v>15119.78</v>
      </c>
      <c r="H7" s="290">
        <f>G7*12</f>
        <v>181437.36000000002</v>
      </c>
    </row>
    <row r="8" spans="1:8" ht="16.5" thickBot="1" x14ac:dyDescent="0.3">
      <c r="A8" s="289"/>
      <c r="B8" s="288" t="s">
        <v>28</v>
      </c>
      <c r="C8" s="287">
        <f>SUM(C6:C7)</f>
        <v>2</v>
      </c>
      <c r="D8" s="287">
        <f t="shared" ref="D8:H8" si="0">SUM(D6:D7)</f>
        <v>4</v>
      </c>
      <c r="E8" s="286">
        <f t="shared" si="0"/>
        <v>14209.76</v>
      </c>
      <c r="F8" s="286">
        <f t="shared" si="0"/>
        <v>28419.52</v>
      </c>
      <c r="G8" s="286">
        <f t="shared" si="0"/>
        <v>28419.52</v>
      </c>
      <c r="H8" s="285">
        <f t="shared" si="0"/>
        <v>341034.23999999999</v>
      </c>
    </row>
    <row r="9" spans="1:8" ht="15.75" x14ac:dyDescent="0.25">
      <c r="A9" s="303"/>
      <c r="B9" s="303"/>
      <c r="C9" s="303"/>
      <c r="D9" s="302"/>
      <c r="E9" s="137"/>
      <c r="F9" s="137"/>
      <c r="G9" s="138"/>
      <c r="H9" s="138"/>
    </row>
    <row r="10" spans="1:8" ht="16.5" thickBot="1" x14ac:dyDescent="0.3">
      <c r="A10" s="303"/>
      <c r="B10" s="303"/>
      <c r="C10" s="303"/>
      <c r="D10" s="302"/>
      <c r="E10" s="137"/>
      <c r="F10" s="137"/>
      <c r="G10" s="138"/>
      <c r="H10" s="138"/>
    </row>
    <row r="11" spans="1:8" ht="16.5" thickBot="1" x14ac:dyDescent="0.3">
      <c r="A11" s="337" t="s">
        <v>353</v>
      </c>
      <c r="B11" s="338"/>
      <c r="C11" s="338"/>
      <c r="D11" s="338"/>
      <c r="E11" s="338"/>
      <c r="F11" s="338"/>
      <c r="G11" s="338"/>
      <c r="H11" s="339"/>
    </row>
    <row r="12" spans="1:8" ht="48" thickBot="1" x14ac:dyDescent="0.3">
      <c r="A12" s="301" t="s">
        <v>144</v>
      </c>
      <c r="B12" s="300" t="s">
        <v>229</v>
      </c>
      <c r="C12" s="300" t="s">
        <v>321</v>
      </c>
      <c r="D12" s="300" t="s">
        <v>320</v>
      </c>
      <c r="E12" s="300" t="s">
        <v>319</v>
      </c>
      <c r="F12" s="300" t="s">
        <v>318</v>
      </c>
      <c r="G12" s="300" t="s">
        <v>317</v>
      </c>
      <c r="H12" s="299" t="s">
        <v>316</v>
      </c>
    </row>
    <row r="13" spans="1:8" ht="31.5" x14ac:dyDescent="0.25">
      <c r="A13" s="294">
        <v>3</v>
      </c>
      <c r="B13" s="298" t="s">
        <v>354</v>
      </c>
      <c r="C13" s="297">
        <v>2</v>
      </c>
      <c r="D13" s="297">
        <f>C13*2</f>
        <v>4</v>
      </c>
      <c r="E13" s="296">
        <f>'Custo por trabalhador'!B549</f>
        <v>6649.87</v>
      </c>
      <c r="F13" s="296">
        <f>'Custo por trabalhador'!B550</f>
        <v>13299.74</v>
      </c>
      <c r="G13" s="296">
        <f>F13*C13</f>
        <v>26599.48</v>
      </c>
      <c r="H13" s="295">
        <f>G13*12</f>
        <v>319193.76</v>
      </c>
    </row>
    <row r="14" spans="1:8" ht="32.25" thickBot="1" x14ac:dyDescent="0.3">
      <c r="A14" s="294">
        <v>4</v>
      </c>
      <c r="B14" s="293" t="s">
        <v>355</v>
      </c>
      <c r="C14" s="292">
        <v>2</v>
      </c>
      <c r="D14" s="292">
        <f>C14*2</f>
        <v>4</v>
      </c>
      <c r="E14" s="291">
        <f>'Custo por trabalhador'!C549</f>
        <v>7559.89</v>
      </c>
      <c r="F14" s="291">
        <f>'Custo por trabalhador'!C550</f>
        <v>15119.78</v>
      </c>
      <c r="G14" s="291">
        <f>F14*C14</f>
        <v>30239.56</v>
      </c>
      <c r="H14" s="290">
        <f>G14*12</f>
        <v>362874.72000000003</v>
      </c>
    </row>
    <row r="15" spans="1:8" ht="16.5" thickBot="1" x14ac:dyDescent="0.3">
      <c r="A15" s="289"/>
      <c r="B15" s="288" t="s">
        <v>28</v>
      </c>
      <c r="C15" s="287">
        <f>SUM(C13:C14)</f>
        <v>4</v>
      </c>
      <c r="D15" s="287">
        <f t="shared" ref="D15:H15" si="1">SUM(D13:D14)</f>
        <v>8</v>
      </c>
      <c r="E15" s="286">
        <f t="shared" si="1"/>
        <v>14209.76</v>
      </c>
      <c r="F15" s="286">
        <f t="shared" si="1"/>
        <v>28419.52</v>
      </c>
      <c r="G15" s="286">
        <f t="shared" si="1"/>
        <v>56839.040000000001</v>
      </c>
      <c r="H15" s="285">
        <f t="shared" si="1"/>
        <v>682068.47999999998</v>
      </c>
    </row>
    <row r="16" spans="1:8" ht="15.75" x14ac:dyDescent="0.25">
      <c r="A16" s="303"/>
      <c r="B16" s="303"/>
      <c r="C16" s="303"/>
      <c r="D16" s="302"/>
      <c r="E16" s="137"/>
      <c r="F16" s="137"/>
      <c r="G16" s="138"/>
      <c r="H16" s="138"/>
    </row>
    <row r="17" spans="1:8" ht="15.75" thickBot="1" x14ac:dyDescent="0.3">
      <c r="C17" s="149"/>
    </row>
    <row r="18" spans="1:8" ht="16.5" thickBot="1" x14ac:dyDescent="0.3">
      <c r="A18" s="337" t="s">
        <v>356</v>
      </c>
      <c r="B18" s="338"/>
      <c r="C18" s="338"/>
      <c r="D18" s="338"/>
      <c r="E18" s="338"/>
      <c r="F18" s="338"/>
      <c r="G18" s="338"/>
      <c r="H18" s="339"/>
    </row>
    <row r="19" spans="1:8" ht="48" thickBot="1" x14ac:dyDescent="0.3">
      <c r="A19" s="301" t="s">
        <v>144</v>
      </c>
      <c r="B19" s="300" t="s">
        <v>229</v>
      </c>
      <c r="C19" s="300" t="s">
        <v>321</v>
      </c>
      <c r="D19" s="300" t="s">
        <v>320</v>
      </c>
      <c r="E19" s="300" t="s">
        <v>319</v>
      </c>
      <c r="F19" s="300" t="s">
        <v>318</v>
      </c>
      <c r="G19" s="300" t="s">
        <v>317</v>
      </c>
      <c r="H19" s="299" t="s">
        <v>316</v>
      </c>
    </row>
    <row r="20" spans="1:8" ht="31.5" x14ac:dyDescent="0.25">
      <c r="A20" s="294">
        <v>5</v>
      </c>
      <c r="B20" s="298" t="s">
        <v>357</v>
      </c>
      <c r="C20" s="297">
        <v>1</v>
      </c>
      <c r="D20" s="297">
        <f>C20*2</f>
        <v>2</v>
      </c>
      <c r="E20" s="296">
        <f>'Custo por trabalhador'!B549</f>
        <v>6649.87</v>
      </c>
      <c r="F20" s="296">
        <f>'Custo por trabalhador'!B550</f>
        <v>13299.74</v>
      </c>
      <c r="G20" s="296">
        <f>F20*C20</f>
        <v>13299.74</v>
      </c>
      <c r="H20" s="295">
        <f>G20*12</f>
        <v>159596.88</v>
      </c>
    </row>
    <row r="21" spans="1:8" ht="32.25" thickBot="1" x14ac:dyDescent="0.3">
      <c r="A21" s="294">
        <v>6</v>
      </c>
      <c r="B21" s="293" t="s">
        <v>358</v>
      </c>
      <c r="C21" s="292">
        <v>1</v>
      </c>
      <c r="D21" s="292">
        <f t="shared" ref="D21" si="2">C21*2</f>
        <v>2</v>
      </c>
      <c r="E21" s="291">
        <f>'Custo por trabalhador'!C549</f>
        <v>7559.89</v>
      </c>
      <c r="F21" s="291">
        <f>'Custo por trabalhador'!C550</f>
        <v>15119.78</v>
      </c>
      <c r="G21" s="291">
        <f t="shared" ref="G21" si="3">F21*C21</f>
        <v>15119.78</v>
      </c>
      <c r="H21" s="290">
        <f t="shared" ref="H21" si="4">G21*12</f>
        <v>181437.36000000002</v>
      </c>
    </row>
    <row r="22" spans="1:8" ht="16.5" thickBot="1" x14ac:dyDescent="0.3">
      <c r="A22" s="289"/>
      <c r="B22" s="288" t="s">
        <v>28</v>
      </c>
      <c r="C22" s="287">
        <f t="shared" ref="C22:H22" si="5">SUM(C20:C21)</f>
        <v>2</v>
      </c>
      <c r="D22" s="287">
        <f t="shared" si="5"/>
        <v>4</v>
      </c>
      <c r="E22" s="286">
        <f t="shared" si="5"/>
        <v>14209.76</v>
      </c>
      <c r="F22" s="286">
        <f t="shared" si="5"/>
        <v>28419.52</v>
      </c>
      <c r="G22" s="286">
        <f t="shared" si="5"/>
        <v>28419.52</v>
      </c>
      <c r="H22" s="285">
        <f t="shared" si="5"/>
        <v>341034.23999999999</v>
      </c>
    </row>
    <row r="24" spans="1:8" ht="15.75" thickBot="1" x14ac:dyDescent="0.3"/>
    <row r="25" spans="1:8" ht="16.5" thickBot="1" x14ac:dyDescent="0.3">
      <c r="A25" s="337" t="s">
        <v>359</v>
      </c>
      <c r="B25" s="338"/>
      <c r="C25" s="338"/>
      <c r="D25" s="338"/>
      <c r="E25" s="338"/>
      <c r="F25" s="338"/>
      <c r="G25" s="338"/>
      <c r="H25" s="339"/>
    </row>
    <row r="26" spans="1:8" ht="48" thickBot="1" x14ac:dyDescent="0.3">
      <c r="A26" s="301" t="s">
        <v>144</v>
      </c>
      <c r="B26" s="300" t="s">
        <v>229</v>
      </c>
      <c r="C26" s="300" t="s">
        <v>321</v>
      </c>
      <c r="D26" s="300" t="s">
        <v>320</v>
      </c>
      <c r="E26" s="300" t="s">
        <v>319</v>
      </c>
      <c r="F26" s="300" t="s">
        <v>318</v>
      </c>
      <c r="G26" s="300" t="s">
        <v>317</v>
      </c>
      <c r="H26" s="299" t="s">
        <v>316</v>
      </c>
    </row>
    <row r="27" spans="1:8" ht="31.5" x14ac:dyDescent="0.25">
      <c r="A27" s="294">
        <v>7</v>
      </c>
      <c r="B27" s="298" t="s">
        <v>360</v>
      </c>
      <c r="C27" s="297">
        <v>1</v>
      </c>
      <c r="D27" s="297">
        <f>C27*2</f>
        <v>2</v>
      </c>
      <c r="E27" s="296">
        <f>'Custo por trabalhador'!B549</f>
        <v>6649.87</v>
      </c>
      <c r="F27" s="296">
        <f>'Custo por trabalhador'!B550</f>
        <v>13299.74</v>
      </c>
      <c r="G27" s="296">
        <f>F27*C27</f>
        <v>13299.74</v>
      </c>
      <c r="H27" s="295">
        <f>G27*12</f>
        <v>159596.88</v>
      </c>
    </row>
    <row r="28" spans="1:8" ht="32.25" thickBot="1" x14ac:dyDescent="0.3">
      <c r="A28" s="294">
        <v>8</v>
      </c>
      <c r="B28" s="293" t="s">
        <v>361</v>
      </c>
      <c r="C28" s="292">
        <v>1</v>
      </c>
      <c r="D28" s="292">
        <f>C28*2</f>
        <v>2</v>
      </c>
      <c r="E28" s="291">
        <f>'Custo por trabalhador'!C549</f>
        <v>7559.89</v>
      </c>
      <c r="F28" s="291">
        <f>'Custo por trabalhador'!C550</f>
        <v>15119.78</v>
      </c>
      <c r="G28" s="291">
        <f>F28*C28</f>
        <v>15119.78</v>
      </c>
      <c r="H28" s="290">
        <f>G28*12</f>
        <v>181437.36000000002</v>
      </c>
    </row>
    <row r="29" spans="1:8" ht="16.5" thickBot="1" x14ac:dyDescent="0.3">
      <c r="A29" s="289"/>
      <c r="B29" s="288" t="s">
        <v>28</v>
      </c>
      <c r="C29" s="287">
        <f>SUM(C27:C28)</f>
        <v>2</v>
      </c>
      <c r="D29" s="287">
        <f t="shared" ref="D29:H29" si="6">SUM(D27:D28)</f>
        <v>4</v>
      </c>
      <c r="E29" s="286">
        <f t="shared" si="6"/>
        <v>14209.76</v>
      </c>
      <c r="F29" s="286">
        <f t="shared" si="6"/>
        <v>28419.52</v>
      </c>
      <c r="G29" s="286">
        <f t="shared" si="6"/>
        <v>28419.52</v>
      </c>
      <c r="H29" s="285">
        <f t="shared" si="6"/>
        <v>341034.23999999999</v>
      </c>
    </row>
    <row r="31" spans="1:8" ht="15.75" thickBot="1" x14ac:dyDescent="0.3"/>
    <row r="32" spans="1:8" ht="15.75" x14ac:dyDescent="0.25">
      <c r="B32" s="284" t="s">
        <v>315</v>
      </c>
      <c r="C32" s="283">
        <f>C8+C15+C22+C29</f>
        <v>10</v>
      </c>
    </row>
    <row r="33" spans="2:4" ht="16.5" thickBot="1" x14ac:dyDescent="0.3">
      <c r="B33" s="282" t="s">
        <v>314</v>
      </c>
      <c r="C33" s="281">
        <f>D8+D15+D22+D29</f>
        <v>20</v>
      </c>
    </row>
    <row r="34" spans="2:4" ht="15.75" thickBot="1" x14ac:dyDescent="0.3"/>
    <row r="35" spans="2:4" ht="19.5" thickBot="1" x14ac:dyDescent="0.35">
      <c r="B35" s="318" t="s">
        <v>327</v>
      </c>
      <c r="C35" s="335">
        <f>G8+G15+G22+G29</f>
        <v>142097.60000000001</v>
      </c>
      <c r="D35" s="336"/>
    </row>
    <row r="36" spans="2:4" ht="19.5" thickBot="1" x14ac:dyDescent="0.35">
      <c r="B36" s="318" t="s">
        <v>328</v>
      </c>
      <c r="C36" s="335">
        <f>H8+H15+H22+H29</f>
        <v>1705171.2</v>
      </c>
      <c r="D36" s="336"/>
    </row>
  </sheetData>
  <mergeCells count="9">
    <mergeCell ref="A2:H2"/>
    <mergeCell ref="A3:B3"/>
    <mergeCell ref="A1:H1"/>
    <mergeCell ref="C36:D36"/>
    <mergeCell ref="A4:H4"/>
    <mergeCell ref="A11:H11"/>
    <mergeCell ref="A18:H18"/>
    <mergeCell ref="A25:H25"/>
    <mergeCell ref="C35:D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553"/>
  <sheetViews>
    <sheetView showGridLines="0" zoomScaleNormal="100" workbookViewId="0">
      <selection activeCell="L11" sqref="L11"/>
    </sheetView>
  </sheetViews>
  <sheetFormatPr defaultColWidth="9.140625" defaultRowHeight="24" customHeight="1" x14ac:dyDescent="0.25"/>
  <cols>
    <col min="1" max="1" width="34" style="29" customWidth="1"/>
    <col min="2" max="2" width="19.85546875" style="29" customWidth="1"/>
    <col min="3" max="3" width="19.28515625" style="29" customWidth="1"/>
    <col min="4" max="4" width="23.42578125" style="29" customWidth="1"/>
    <col min="5" max="5" width="17.7109375" style="29" customWidth="1"/>
    <col min="6" max="6" width="18.42578125" style="29" customWidth="1"/>
    <col min="7" max="7" width="15.85546875" style="29" customWidth="1"/>
    <col min="8" max="8" width="15.42578125" style="29" customWidth="1"/>
    <col min="9" max="16384" width="9.140625" style="29"/>
  </cols>
  <sheetData>
    <row r="1" spans="1:8" ht="24" customHeight="1" x14ac:dyDescent="0.35">
      <c r="A1" s="370" t="s">
        <v>220</v>
      </c>
      <c r="B1" s="370"/>
      <c r="C1" s="370"/>
      <c r="D1" s="370"/>
      <c r="E1" s="370"/>
      <c r="F1" s="370"/>
      <c r="G1" s="370"/>
      <c r="H1" s="370"/>
    </row>
    <row r="2" spans="1:8" ht="24" customHeight="1" x14ac:dyDescent="0.35">
      <c r="A2" s="370" t="s">
        <v>221</v>
      </c>
      <c r="B2" s="370"/>
      <c r="C2" s="370"/>
      <c r="D2" s="370"/>
      <c r="E2" s="370"/>
      <c r="F2" s="370"/>
      <c r="G2" s="370"/>
      <c r="H2" s="370"/>
    </row>
    <row r="3" spans="1:8" ht="24" customHeight="1" x14ac:dyDescent="0.35">
      <c r="A3" s="370" t="s">
        <v>362</v>
      </c>
      <c r="B3" s="370"/>
      <c r="C3" s="370"/>
      <c r="D3" s="370"/>
      <c r="E3" s="370"/>
      <c r="F3" s="370"/>
      <c r="G3" s="370"/>
      <c r="H3" s="370"/>
    </row>
    <row r="4" spans="1:8" s="428" customFormat="1" ht="24" customHeight="1" thickBot="1" x14ac:dyDescent="0.4">
      <c r="A4" s="427"/>
      <c r="B4" s="427"/>
      <c r="C4" s="427"/>
      <c r="D4" s="427"/>
      <c r="E4" s="427"/>
      <c r="F4" s="427"/>
      <c r="G4" s="427"/>
      <c r="H4" s="427"/>
    </row>
    <row r="5" spans="1:8" ht="15.75" customHeight="1" thickBot="1" x14ac:dyDescent="0.3">
      <c r="A5" s="371" t="s">
        <v>331</v>
      </c>
      <c r="B5" s="372"/>
      <c r="C5" s="372"/>
      <c r="D5" s="372"/>
      <c r="E5" s="372"/>
      <c r="F5" s="372"/>
      <c r="G5" s="372"/>
      <c r="H5" s="373"/>
    </row>
    <row r="6" spans="1:8" ht="24" customHeight="1" x14ac:dyDescent="0.25">
      <c r="A6" s="91"/>
      <c r="B6" s="91"/>
      <c r="C6" s="91"/>
      <c r="D6" s="91"/>
      <c r="E6" s="91"/>
      <c r="F6" s="91"/>
      <c r="G6" s="90"/>
      <c r="H6" s="90"/>
    </row>
    <row r="7" spans="1:8" ht="24" customHeight="1" x14ac:dyDescent="0.25">
      <c r="A7" s="347" t="s">
        <v>5</v>
      </c>
      <c r="B7" s="347"/>
      <c r="C7" s="347"/>
      <c r="D7" s="347"/>
      <c r="E7" s="347"/>
      <c r="F7" s="347"/>
      <c r="G7" s="347"/>
      <c r="H7" s="347"/>
    </row>
    <row r="8" spans="1:8" ht="24" customHeight="1" x14ac:dyDescent="0.25">
      <c r="A8" s="91"/>
      <c r="B8" s="91"/>
      <c r="C8" s="91"/>
      <c r="D8" s="91"/>
      <c r="E8" s="91"/>
      <c r="F8" s="91"/>
      <c r="G8" s="90"/>
      <c r="H8" s="90"/>
    </row>
    <row r="9" spans="1:8" ht="24" customHeight="1" x14ac:dyDescent="0.25">
      <c r="A9" s="352" t="s">
        <v>0</v>
      </c>
      <c r="B9" s="353"/>
      <c r="C9" s="353"/>
      <c r="D9" s="353"/>
      <c r="E9" s="353"/>
      <c r="F9" s="353"/>
      <c r="G9" s="353"/>
      <c r="H9" s="353"/>
    </row>
    <row r="10" spans="1:8" ht="24" customHeight="1" thickBot="1" x14ac:dyDescent="0.3"/>
    <row r="11" spans="1:8" ht="24" customHeight="1" thickBot="1" x14ac:dyDescent="0.3">
      <c r="A11" s="349" t="s">
        <v>332</v>
      </c>
      <c r="B11" s="351"/>
    </row>
    <row r="12" spans="1:8" ht="24" customHeight="1" thickBot="1" x14ac:dyDescent="0.3">
      <c r="A12" s="163" t="s">
        <v>232</v>
      </c>
      <c r="B12" s="328">
        <v>1733.93</v>
      </c>
      <c r="F12" s="176"/>
    </row>
    <row r="13" spans="1:8" ht="24" customHeight="1" thickBot="1" x14ac:dyDescent="0.3">
      <c r="A13" s="158" t="s">
        <v>263</v>
      </c>
      <c r="B13" s="329">
        <f>B12</f>
        <v>1733.93</v>
      </c>
    </row>
    <row r="14" spans="1:8" ht="24" customHeight="1" x14ac:dyDescent="0.25">
      <c r="A14" s="91"/>
      <c r="B14" s="91"/>
      <c r="C14" s="91"/>
      <c r="D14" s="91"/>
      <c r="E14" s="91"/>
      <c r="F14" s="91"/>
      <c r="G14" s="91"/>
      <c r="H14" s="91"/>
    </row>
    <row r="15" spans="1:8" ht="24" customHeight="1" x14ac:dyDescent="0.25">
      <c r="A15" s="352" t="s">
        <v>265</v>
      </c>
      <c r="B15" s="353"/>
      <c r="C15" s="353"/>
      <c r="D15" s="353"/>
      <c r="E15" s="353"/>
      <c r="F15" s="353"/>
      <c r="G15" s="353"/>
      <c r="H15" s="353"/>
    </row>
    <row r="16" spans="1:8" ht="24" customHeight="1" thickBot="1" x14ac:dyDescent="0.3">
      <c r="A16" s="91"/>
      <c r="B16" s="91"/>
      <c r="C16" s="91"/>
      <c r="D16" s="91"/>
      <c r="E16" s="91"/>
      <c r="F16" s="91"/>
    </row>
    <row r="17" spans="1:8" ht="24" customHeight="1" thickBot="1" x14ac:dyDescent="0.3">
      <c r="A17" s="341" t="s">
        <v>333</v>
      </c>
      <c r="B17" s="342"/>
      <c r="C17" s="342"/>
      <c r="D17" s="343"/>
    </row>
    <row r="18" spans="1:8" ht="24" customHeight="1" thickBot="1" x14ac:dyDescent="0.3">
      <c r="A18" s="37" t="s">
        <v>3</v>
      </c>
      <c r="B18" s="38" t="s">
        <v>1</v>
      </c>
      <c r="C18" s="38" t="s">
        <v>2</v>
      </c>
      <c r="D18" s="245" t="s">
        <v>131</v>
      </c>
    </row>
    <row r="19" spans="1:8" ht="24" customHeight="1" thickBot="1" x14ac:dyDescent="0.3">
      <c r="A19" s="163" t="s">
        <v>232</v>
      </c>
      <c r="B19" s="164">
        <f>B12</f>
        <v>1733.93</v>
      </c>
      <c r="C19" s="192">
        <v>0</v>
      </c>
      <c r="D19" s="193">
        <f>B19*C19</f>
        <v>0</v>
      </c>
      <c r="E19" s="90"/>
      <c r="G19" s="90"/>
      <c r="H19" s="90"/>
    </row>
    <row r="20" spans="1:8" ht="24" customHeight="1" thickBot="1" x14ac:dyDescent="0.3">
      <c r="A20" s="158" t="s">
        <v>233</v>
      </c>
      <c r="B20" s="159">
        <f>B13</f>
        <v>1733.93</v>
      </c>
      <c r="C20" s="190">
        <v>0.12</v>
      </c>
      <c r="D20" s="191">
        <f>B20*C20</f>
        <v>208.07159999999999</v>
      </c>
      <c r="E20" s="90"/>
      <c r="G20" s="90"/>
      <c r="H20" s="90"/>
    </row>
    <row r="21" spans="1:8" ht="24" customHeight="1" thickBot="1" x14ac:dyDescent="0.3"/>
    <row r="22" spans="1:8" ht="24" customHeight="1" thickBot="1" x14ac:dyDescent="0.3">
      <c r="A22" s="341" t="s">
        <v>334</v>
      </c>
      <c r="B22" s="342"/>
      <c r="C22" s="342"/>
      <c r="D22" s="343"/>
    </row>
    <row r="23" spans="1:8" ht="24" customHeight="1" thickBot="1" x14ac:dyDescent="0.3">
      <c r="A23" s="34" t="s">
        <v>3</v>
      </c>
      <c r="B23" s="35" t="s">
        <v>1</v>
      </c>
      <c r="C23" s="35" t="s">
        <v>2</v>
      </c>
      <c r="D23" s="36" t="s">
        <v>4</v>
      </c>
    </row>
    <row r="24" spans="1:8" ht="24" customHeight="1" thickBot="1" x14ac:dyDescent="0.3">
      <c r="A24" s="1" t="s">
        <v>259</v>
      </c>
      <c r="B24" s="159">
        <v>0</v>
      </c>
      <c r="C24" s="161">
        <v>0.12</v>
      </c>
      <c r="D24" s="162">
        <f>B24*C24</f>
        <v>0</v>
      </c>
    </row>
    <row r="25" spans="1:8" ht="24" customHeight="1" thickBot="1" x14ac:dyDescent="0.3">
      <c r="A25" s="2" t="s">
        <v>349</v>
      </c>
      <c r="B25" s="159">
        <v>0</v>
      </c>
      <c r="C25" s="161">
        <v>0.12</v>
      </c>
      <c r="D25" s="162">
        <f>B25*C25</f>
        <v>0</v>
      </c>
    </row>
    <row r="27" spans="1:8" ht="24" customHeight="1" x14ac:dyDescent="0.25">
      <c r="A27" s="352" t="s">
        <v>335</v>
      </c>
      <c r="B27" s="353"/>
      <c r="C27" s="353"/>
      <c r="D27" s="353"/>
      <c r="E27" s="353"/>
      <c r="F27" s="353"/>
      <c r="G27" s="353"/>
      <c r="H27" s="353"/>
    </row>
    <row r="28" spans="1:8" ht="24" customHeight="1" thickBot="1" x14ac:dyDescent="0.3">
      <c r="A28" s="90"/>
      <c r="B28" s="90"/>
      <c r="C28" s="90"/>
      <c r="D28" s="90"/>
      <c r="F28" s="90"/>
    </row>
    <row r="29" spans="1:8" ht="24" customHeight="1" thickBot="1" x14ac:dyDescent="0.3">
      <c r="A29" s="349" t="s">
        <v>228</v>
      </c>
      <c r="B29" s="350"/>
      <c r="C29" s="350"/>
      <c r="D29" s="351"/>
    </row>
    <row r="30" spans="1:8" ht="24" customHeight="1" thickBot="1" x14ac:dyDescent="0.3">
      <c r="A30" s="37" t="s">
        <v>3</v>
      </c>
      <c r="B30" s="38" t="s">
        <v>1</v>
      </c>
      <c r="C30" s="38" t="s">
        <v>2</v>
      </c>
      <c r="D30" s="39" t="s">
        <v>4</v>
      </c>
    </row>
    <row r="31" spans="1:8" ht="24" customHeight="1" x14ac:dyDescent="0.25">
      <c r="A31" s="3" t="s">
        <v>234</v>
      </c>
      <c r="B31" s="5">
        <f>$B$12</f>
        <v>1733.93</v>
      </c>
      <c r="C31" s="70">
        <v>0.3</v>
      </c>
      <c r="D31" s="7">
        <f t="shared" ref="D31:D36" si="0">B31*C31</f>
        <v>520.17899999999997</v>
      </c>
    </row>
    <row r="32" spans="1:8" ht="24" customHeight="1" thickBot="1" x14ac:dyDescent="0.3">
      <c r="A32" s="2" t="s">
        <v>237</v>
      </c>
      <c r="B32" s="65">
        <f t="shared" ref="B32" si="1">$B$12</f>
        <v>1733.93</v>
      </c>
      <c r="C32" s="72">
        <v>0.3</v>
      </c>
      <c r="D32" s="67">
        <f t="shared" si="0"/>
        <v>520.17899999999997</v>
      </c>
    </row>
    <row r="33" spans="1:8" ht="24" customHeight="1" x14ac:dyDescent="0.25">
      <c r="A33" s="3" t="s">
        <v>259</v>
      </c>
      <c r="B33" s="5">
        <v>0</v>
      </c>
      <c r="C33" s="70">
        <v>0.3</v>
      </c>
      <c r="D33" s="7">
        <f t="shared" ref="D33:D34" si="2">B33*C33</f>
        <v>0</v>
      </c>
    </row>
    <row r="34" spans="1:8" ht="24" customHeight="1" thickBot="1" x14ac:dyDescent="0.3">
      <c r="A34" s="2" t="s">
        <v>349</v>
      </c>
      <c r="B34" s="65">
        <v>0</v>
      </c>
      <c r="C34" s="72">
        <v>0.3</v>
      </c>
      <c r="D34" s="67">
        <f t="shared" si="2"/>
        <v>0</v>
      </c>
    </row>
    <row r="35" spans="1:8" ht="24" customHeight="1" x14ac:dyDescent="0.25">
      <c r="A35" s="1" t="s">
        <v>235</v>
      </c>
      <c r="B35" s="10">
        <f>$B$13</f>
        <v>1733.93</v>
      </c>
      <c r="C35" s="157">
        <v>0.3</v>
      </c>
      <c r="D35" s="9">
        <f t="shared" si="0"/>
        <v>520.17899999999997</v>
      </c>
    </row>
    <row r="36" spans="1:8" ht="24" customHeight="1" thickBot="1" x14ac:dyDescent="0.3">
      <c r="A36" s="2" t="s">
        <v>236</v>
      </c>
      <c r="B36" s="65">
        <f t="shared" ref="B36" si="3">$B$13</f>
        <v>1733.93</v>
      </c>
      <c r="C36" s="72">
        <v>0.3</v>
      </c>
      <c r="D36" s="67">
        <f t="shared" si="0"/>
        <v>520.17899999999997</v>
      </c>
    </row>
    <row r="38" spans="1:8" ht="24" customHeight="1" x14ac:dyDescent="0.25">
      <c r="A38" s="352" t="s">
        <v>336</v>
      </c>
      <c r="B38" s="353"/>
      <c r="C38" s="353"/>
      <c r="D38" s="353"/>
      <c r="E38" s="353"/>
      <c r="F38" s="353"/>
      <c r="G38" s="353"/>
      <c r="H38" s="353"/>
    </row>
    <row r="39" spans="1:8" ht="24" customHeight="1" thickBot="1" x14ac:dyDescent="0.3"/>
    <row r="40" spans="1:8" ht="24" customHeight="1" thickBot="1" x14ac:dyDescent="0.3">
      <c r="A40" s="341" t="s">
        <v>264</v>
      </c>
      <c r="B40" s="342"/>
      <c r="C40" s="342"/>
      <c r="D40" s="342"/>
      <c r="E40" s="343"/>
    </row>
    <row r="41" spans="1:8" ht="24" customHeight="1" thickBot="1" x14ac:dyDescent="0.3">
      <c r="A41" s="37" t="s">
        <v>3</v>
      </c>
      <c r="B41" s="38" t="s">
        <v>7</v>
      </c>
      <c r="C41" s="38" t="s">
        <v>8</v>
      </c>
      <c r="D41" s="38" t="s">
        <v>2</v>
      </c>
      <c r="E41" s="39" t="s">
        <v>4</v>
      </c>
    </row>
    <row r="42" spans="1:8" ht="24" customHeight="1" x14ac:dyDescent="0.25">
      <c r="A42" s="3" t="s">
        <v>237</v>
      </c>
      <c r="B42" s="5">
        <f>$B$12</f>
        <v>1733.93</v>
      </c>
      <c r="C42" s="76">
        <f>7/12</f>
        <v>0.58333333333333337</v>
      </c>
      <c r="D42" s="70">
        <v>0.2</v>
      </c>
      <c r="E42" s="7">
        <f>B42*C42*D42</f>
        <v>202.29183333333336</v>
      </c>
    </row>
    <row r="43" spans="1:8" ht="24" customHeight="1" thickBot="1" x14ac:dyDescent="0.3">
      <c r="A43" s="2" t="s">
        <v>236</v>
      </c>
      <c r="B43" s="65">
        <f>$B$12</f>
        <v>1733.93</v>
      </c>
      <c r="C43" s="77">
        <f>7/12</f>
        <v>0.58333333333333337</v>
      </c>
      <c r="D43" s="72">
        <f>D42</f>
        <v>0.2</v>
      </c>
      <c r="E43" s="67">
        <f>B43*C43*D43</f>
        <v>202.29183333333336</v>
      </c>
    </row>
    <row r="44" spans="1:8" ht="24" customHeight="1" thickBot="1" x14ac:dyDescent="0.3">
      <c r="A44" s="246"/>
      <c r="B44" s="247"/>
      <c r="C44" s="248"/>
      <c r="D44" s="249"/>
      <c r="E44" s="250"/>
    </row>
    <row r="45" spans="1:8" ht="24" customHeight="1" thickBot="1" x14ac:dyDescent="0.3">
      <c r="A45" s="341" t="s">
        <v>9</v>
      </c>
      <c r="B45" s="342"/>
      <c r="C45" s="342"/>
      <c r="D45" s="342"/>
      <c r="E45" s="343"/>
    </row>
    <row r="46" spans="1:8" ht="24" customHeight="1" thickBot="1" x14ac:dyDescent="0.3">
      <c r="A46" s="37" t="s">
        <v>3</v>
      </c>
      <c r="B46" s="38" t="s">
        <v>7</v>
      </c>
      <c r="C46" s="38" t="s">
        <v>8</v>
      </c>
      <c r="D46" s="38" t="s">
        <v>2</v>
      </c>
      <c r="E46" s="39" t="s">
        <v>4</v>
      </c>
    </row>
    <row r="47" spans="1:8" ht="24" customHeight="1" thickBot="1" x14ac:dyDescent="0.3">
      <c r="A47" s="163" t="s">
        <v>237</v>
      </c>
      <c r="B47" s="164">
        <f>$B$12</f>
        <v>1733.93</v>
      </c>
      <c r="C47" s="165">
        <f>1/12</f>
        <v>8.3333333333333329E-2</v>
      </c>
      <c r="D47" s="166">
        <f>1+D42</f>
        <v>1.2</v>
      </c>
      <c r="E47" s="167">
        <f>B47*C47*D47</f>
        <v>173.393</v>
      </c>
    </row>
    <row r="48" spans="1:8" ht="24" customHeight="1" thickBot="1" x14ac:dyDescent="0.3">
      <c r="A48" s="158" t="s">
        <v>236</v>
      </c>
      <c r="B48" s="159">
        <f>$B$12</f>
        <v>1733.93</v>
      </c>
      <c r="C48" s="160">
        <f>1/12</f>
        <v>8.3333333333333329E-2</v>
      </c>
      <c r="D48" s="161">
        <f>1+D43</f>
        <v>1.2</v>
      </c>
      <c r="E48" s="162">
        <f>B48*C48*D48</f>
        <v>173.393</v>
      </c>
    </row>
    <row r="49" spans="1:8" ht="24" customHeight="1" thickBot="1" x14ac:dyDescent="0.3"/>
    <row r="50" spans="1:8" ht="24" customHeight="1" thickBot="1" x14ac:dyDescent="0.3">
      <c r="A50" s="349" t="s">
        <v>6</v>
      </c>
      <c r="B50" s="350"/>
      <c r="C50" s="350"/>
      <c r="D50" s="351"/>
    </row>
    <row r="51" spans="1:8" ht="31.9" customHeight="1" thickBot="1" x14ac:dyDescent="0.3">
      <c r="A51" s="37" t="s">
        <v>3</v>
      </c>
      <c r="B51" s="38" t="s">
        <v>10</v>
      </c>
      <c r="C51" s="11" t="s">
        <v>11</v>
      </c>
      <c r="D51" s="39" t="s">
        <v>4</v>
      </c>
    </row>
    <row r="52" spans="1:8" ht="24" customHeight="1" thickBot="1" x14ac:dyDescent="0.3">
      <c r="A52" s="163" t="s">
        <v>237</v>
      </c>
      <c r="B52" s="164">
        <f>E42</f>
        <v>202.29183333333336</v>
      </c>
      <c r="C52" s="164">
        <f>E47</f>
        <v>173.393</v>
      </c>
      <c r="D52" s="167">
        <f>SUM(B52:C52)</f>
        <v>375.68483333333336</v>
      </c>
    </row>
    <row r="53" spans="1:8" ht="24" customHeight="1" thickBot="1" x14ac:dyDescent="0.3">
      <c r="A53" s="158" t="s">
        <v>236</v>
      </c>
      <c r="B53" s="159">
        <f>E43</f>
        <v>202.29183333333336</v>
      </c>
      <c r="C53" s="159">
        <f>E48</f>
        <v>173.393</v>
      </c>
      <c r="D53" s="162">
        <f>SUM(B53:C53)</f>
        <v>375.68483333333336</v>
      </c>
      <c r="G53" s="90"/>
      <c r="H53" s="90"/>
    </row>
    <row r="55" spans="1:8" ht="24" customHeight="1" x14ac:dyDescent="0.25">
      <c r="A55" s="352" t="s">
        <v>337</v>
      </c>
      <c r="B55" s="353"/>
      <c r="C55" s="353"/>
      <c r="D55" s="353"/>
      <c r="E55" s="353"/>
      <c r="F55" s="353"/>
      <c r="G55" s="353"/>
      <c r="H55" s="353"/>
    </row>
    <row r="56" spans="1:8" ht="24" customHeight="1" thickBot="1" x14ac:dyDescent="0.3"/>
    <row r="57" spans="1:8" ht="24" customHeight="1" thickBot="1" x14ac:dyDescent="0.3">
      <c r="A57" s="349" t="s">
        <v>266</v>
      </c>
      <c r="B57" s="350"/>
      <c r="C57" s="350"/>
      <c r="D57" s="351"/>
    </row>
    <row r="58" spans="1:8" ht="24" customHeight="1" thickBot="1" x14ac:dyDescent="0.3">
      <c r="A58" s="37" t="s">
        <v>3</v>
      </c>
      <c r="B58" s="38" t="s">
        <v>1</v>
      </c>
      <c r="C58" s="38" t="s">
        <v>269</v>
      </c>
      <c r="D58" s="39" t="s">
        <v>4</v>
      </c>
    </row>
    <row r="59" spans="1:8" ht="24" customHeight="1" x14ac:dyDescent="0.25">
      <c r="A59" s="3" t="s">
        <v>234</v>
      </c>
      <c r="B59" s="5">
        <f>((B12+D31)/220*100%)</f>
        <v>10.245949999999999</v>
      </c>
      <c r="C59" s="68">
        <f>3*12</f>
        <v>36</v>
      </c>
      <c r="D59" s="152">
        <f>(B59*C59)/12</f>
        <v>30.737849999999995</v>
      </c>
    </row>
    <row r="60" spans="1:8" ht="24" customHeight="1" thickBot="1" x14ac:dyDescent="0.3">
      <c r="A60" s="2" t="s">
        <v>237</v>
      </c>
      <c r="B60" s="65">
        <f>((B12+D32+D52)/220*100%)</f>
        <v>11.953608333333333</v>
      </c>
      <c r="C60" s="69">
        <f>3*12</f>
        <v>36</v>
      </c>
      <c r="D60" s="156">
        <f>(B60*C60)/12</f>
        <v>35.860824999999998</v>
      </c>
    </row>
    <row r="61" spans="1:8" ht="24" customHeight="1" x14ac:dyDescent="0.25">
      <c r="A61" s="3" t="s">
        <v>259</v>
      </c>
      <c r="B61" s="5">
        <v>0</v>
      </c>
      <c r="C61" s="68">
        <f>3*12</f>
        <v>36</v>
      </c>
      <c r="D61" s="152">
        <f>(B61*C61)/12</f>
        <v>0</v>
      </c>
    </row>
    <row r="62" spans="1:8" ht="24" customHeight="1" thickBot="1" x14ac:dyDescent="0.3">
      <c r="A62" s="2" t="s">
        <v>349</v>
      </c>
      <c r="B62" s="65">
        <v>0</v>
      </c>
      <c r="C62" s="69">
        <f>3*12</f>
        <v>36</v>
      </c>
      <c r="D62" s="156">
        <f>(B62*C62)/12</f>
        <v>0</v>
      </c>
    </row>
    <row r="63" spans="1:8" ht="24" customHeight="1" x14ac:dyDescent="0.25">
      <c r="A63" s="1" t="s">
        <v>235</v>
      </c>
      <c r="B63" s="10">
        <f>((B13+D35)/220*100%)</f>
        <v>10.245949999999999</v>
      </c>
      <c r="C63" s="168">
        <f t="shared" ref="C63:C64" si="4">3*12</f>
        <v>36</v>
      </c>
      <c r="D63" s="169">
        <f t="shared" ref="D63:D64" si="5">(B63*C63)/12</f>
        <v>30.737849999999995</v>
      </c>
    </row>
    <row r="64" spans="1:8" ht="24" customHeight="1" thickBot="1" x14ac:dyDescent="0.3">
      <c r="A64" s="2" t="s">
        <v>236</v>
      </c>
      <c r="B64" s="65">
        <f>((B13+D36+D53)/220*100%)</f>
        <v>11.953608333333333</v>
      </c>
      <c r="C64" s="69">
        <f t="shared" si="4"/>
        <v>36</v>
      </c>
      <c r="D64" s="156">
        <f t="shared" si="5"/>
        <v>35.860824999999998</v>
      </c>
    </row>
    <row r="66" spans="1:8" ht="24" customHeight="1" x14ac:dyDescent="0.25">
      <c r="A66" s="347" t="s">
        <v>5</v>
      </c>
      <c r="B66" s="347"/>
      <c r="C66" s="347"/>
      <c r="D66" s="347"/>
      <c r="E66" s="347"/>
      <c r="F66" s="347"/>
      <c r="G66" s="347"/>
      <c r="H66" s="347"/>
    </row>
    <row r="67" spans="1:8" ht="24" customHeight="1" thickBot="1" x14ac:dyDescent="0.3"/>
    <row r="68" spans="1:8" ht="24" customHeight="1" thickBot="1" x14ac:dyDescent="0.3">
      <c r="A68" s="341" t="s">
        <v>5</v>
      </c>
      <c r="B68" s="342"/>
      <c r="C68" s="342"/>
      <c r="D68" s="342"/>
      <c r="E68" s="342"/>
      <c r="F68" s="342"/>
      <c r="G68" s="342"/>
      <c r="H68" s="343"/>
    </row>
    <row r="69" spans="1:8" ht="79.5" thickBot="1" x14ac:dyDescent="0.3">
      <c r="A69" s="244" t="s">
        <v>3</v>
      </c>
      <c r="B69" s="11" t="s">
        <v>338</v>
      </c>
      <c r="C69" s="11" t="s">
        <v>339</v>
      </c>
      <c r="D69" s="11" t="s">
        <v>340</v>
      </c>
      <c r="E69" s="11" t="s">
        <v>341</v>
      </c>
      <c r="F69" s="11" t="s">
        <v>342</v>
      </c>
      <c r="G69" s="11" t="s">
        <v>343</v>
      </c>
      <c r="H69" s="245" t="s">
        <v>12</v>
      </c>
    </row>
    <row r="70" spans="1:8" ht="24" customHeight="1" x14ac:dyDescent="0.25">
      <c r="A70" s="3" t="s">
        <v>234</v>
      </c>
      <c r="B70" s="5">
        <f>B12</f>
        <v>1733.93</v>
      </c>
      <c r="C70" s="5">
        <f>D19</f>
        <v>0</v>
      </c>
      <c r="D70" s="87">
        <v>0</v>
      </c>
      <c r="E70" s="5">
        <f t="shared" ref="E70:E75" si="6">D31</f>
        <v>520.17899999999997</v>
      </c>
      <c r="F70" s="5">
        <v>0</v>
      </c>
      <c r="G70" s="87">
        <f t="shared" ref="G70:G75" si="7">D59</f>
        <v>30.737849999999995</v>
      </c>
      <c r="H70" s="7">
        <f t="shared" ref="H70:H75" si="8">SUM(B70:G70)</f>
        <v>2284.8468499999999</v>
      </c>
    </row>
    <row r="71" spans="1:8" ht="24" customHeight="1" thickBot="1" x14ac:dyDescent="0.3">
      <c r="A71" s="4" t="s">
        <v>237</v>
      </c>
      <c r="B71" s="6">
        <f>B12</f>
        <v>1733.93</v>
      </c>
      <c r="C71" s="6">
        <f>D19</f>
        <v>0</v>
      </c>
      <c r="D71" s="88">
        <v>0</v>
      </c>
      <c r="E71" s="6">
        <f t="shared" si="6"/>
        <v>520.17899999999997</v>
      </c>
      <c r="F71" s="6">
        <f>D52</f>
        <v>375.68483333333336</v>
      </c>
      <c r="G71" s="88">
        <f t="shared" si="7"/>
        <v>35.860824999999998</v>
      </c>
      <c r="H71" s="9">
        <f t="shared" si="8"/>
        <v>2665.6546583333334</v>
      </c>
    </row>
    <row r="72" spans="1:8" ht="24" customHeight="1" x14ac:dyDescent="0.25">
      <c r="A72" s="3" t="s">
        <v>259</v>
      </c>
      <c r="B72" s="5">
        <v>0</v>
      </c>
      <c r="C72" s="5">
        <f>D21</f>
        <v>0</v>
      </c>
      <c r="D72" s="87">
        <f>D24</f>
        <v>0</v>
      </c>
      <c r="E72" s="5">
        <f t="shared" si="6"/>
        <v>0</v>
      </c>
      <c r="F72" s="5">
        <v>0</v>
      </c>
      <c r="G72" s="87">
        <f t="shared" si="7"/>
        <v>0</v>
      </c>
      <c r="H72" s="7">
        <f t="shared" si="8"/>
        <v>0</v>
      </c>
    </row>
    <row r="73" spans="1:8" ht="24" customHeight="1" thickBot="1" x14ac:dyDescent="0.3">
      <c r="A73" s="2" t="s">
        <v>349</v>
      </c>
      <c r="B73" s="65">
        <v>0</v>
      </c>
      <c r="C73" s="65">
        <f>D21</f>
        <v>0</v>
      </c>
      <c r="D73" s="89">
        <f>D25</f>
        <v>0</v>
      </c>
      <c r="E73" s="65">
        <f t="shared" si="6"/>
        <v>0</v>
      </c>
      <c r="F73" s="65">
        <v>0</v>
      </c>
      <c r="G73" s="89">
        <f t="shared" si="7"/>
        <v>0</v>
      </c>
      <c r="H73" s="162">
        <f t="shared" si="8"/>
        <v>0</v>
      </c>
    </row>
    <row r="74" spans="1:8" ht="24" customHeight="1" x14ac:dyDescent="0.25">
      <c r="A74" s="3" t="s">
        <v>235</v>
      </c>
      <c r="B74" s="5">
        <f>B13</f>
        <v>1733.93</v>
      </c>
      <c r="C74" s="5">
        <f>D20</f>
        <v>208.07159999999999</v>
      </c>
      <c r="D74" s="87">
        <v>0</v>
      </c>
      <c r="E74" s="5">
        <f t="shared" si="6"/>
        <v>520.17899999999997</v>
      </c>
      <c r="F74" s="5">
        <v>0</v>
      </c>
      <c r="G74" s="87">
        <f t="shared" si="7"/>
        <v>30.737849999999995</v>
      </c>
      <c r="H74" s="7">
        <f t="shared" si="8"/>
        <v>2492.9184500000001</v>
      </c>
    </row>
    <row r="75" spans="1:8" ht="24" customHeight="1" thickBot="1" x14ac:dyDescent="0.3">
      <c r="A75" s="2" t="s">
        <v>238</v>
      </c>
      <c r="B75" s="65">
        <f>B13</f>
        <v>1733.93</v>
      </c>
      <c r="C75" s="65">
        <f>D20</f>
        <v>208.07159999999999</v>
      </c>
      <c r="D75" s="89">
        <v>0</v>
      </c>
      <c r="E75" s="65">
        <f t="shared" si="6"/>
        <v>520.17899999999997</v>
      </c>
      <c r="F75" s="65">
        <f>D53</f>
        <v>375.68483333333336</v>
      </c>
      <c r="G75" s="89">
        <f t="shared" si="7"/>
        <v>35.860824999999998</v>
      </c>
      <c r="H75" s="162">
        <f t="shared" si="8"/>
        <v>2873.7262583333336</v>
      </c>
    </row>
    <row r="77" spans="1:8" ht="24" customHeight="1" x14ac:dyDescent="0.25">
      <c r="A77" s="347" t="s">
        <v>127</v>
      </c>
      <c r="B77" s="347"/>
      <c r="C77" s="347"/>
      <c r="D77" s="347"/>
      <c r="E77" s="347"/>
      <c r="F77" s="347"/>
      <c r="G77" s="347"/>
      <c r="H77" s="347"/>
    </row>
    <row r="79" spans="1:8" ht="24" customHeight="1" x14ac:dyDescent="0.25">
      <c r="A79" s="352" t="s">
        <v>130</v>
      </c>
      <c r="B79" s="353"/>
      <c r="C79" s="353"/>
      <c r="D79" s="353"/>
      <c r="E79" s="353"/>
      <c r="F79" s="353"/>
      <c r="G79" s="353"/>
      <c r="H79" s="353"/>
    </row>
    <row r="80" spans="1:8" ht="24" customHeight="1" thickBot="1" x14ac:dyDescent="0.3"/>
    <row r="81" spans="1:5" ht="27.75" customHeight="1" thickBot="1" x14ac:dyDescent="0.3">
      <c r="A81" s="354" t="s">
        <v>134</v>
      </c>
      <c r="B81" s="350"/>
      <c r="C81" s="350"/>
      <c r="D81" s="351"/>
      <c r="E81" s="92"/>
    </row>
    <row r="82" spans="1:5" ht="32.25" thickBot="1" x14ac:dyDescent="0.3">
      <c r="A82" s="12" t="s">
        <v>3</v>
      </c>
      <c r="B82" s="13" t="s">
        <v>1</v>
      </c>
      <c r="C82" s="15" t="s">
        <v>129</v>
      </c>
      <c r="D82" s="14" t="s">
        <v>4</v>
      </c>
    </row>
    <row r="83" spans="1:5" ht="24" customHeight="1" x14ac:dyDescent="0.25">
      <c r="A83" s="3" t="s">
        <v>234</v>
      </c>
      <c r="B83" s="5">
        <f t="shared" ref="B83:B88" si="9">H70</f>
        <v>2284.8468499999999</v>
      </c>
      <c r="C83" s="81">
        <f>1/12</f>
        <v>8.3333333333333329E-2</v>
      </c>
      <c r="D83" s="7">
        <f>B83*C83</f>
        <v>190.40390416666665</v>
      </c>
    </row>
    <row r="84" spans="1:5" ht="24" customHeight="1" thickBot="1" x14ac:dyDescent="0.3">
      <c r="A84" s="4" t="s">
        <v>237</v>
      </c>
      <c r="B84" s="6">
        <f t="shared" si="9"/>
        <v>2665.6546583333334</v>
      </c>
      <c r="C84" s="79">
        <f t="shared" ref="C84:C88" si="10">1/12</f>
        <v>8.3333333333333329E-2</v>
      </c>
      <c r="D84" s="8">
        <f t="shared" ref="D84:D88" si="11">B84*C84</f>
        <v>222.13788819444443</v>
      </c>
    </row>
    <row r="85" spans="1:5" ht="24" customHeight="1" x14ac:dyDescent="0.25">
      <c r="A85" s="3" t="s">
        <v>259</v>
      </c>
      <c r="B85" s="5">
        <f t="shared" si="9"/>
        <v>0</v>
      </c>
      <c r="C85" s="81">
        <f>1/12</f>
        <v>8.3333333333333329E-2</v>
      </c>
      <c r="D85" s="7">
        <f>B85*C85</f>
        <v>0</v>
      </c>
    </row>
    <row r="86" spans="1:5" ht="24" customHeight="1" thickBot="1" x14ac:dyDescent="0.3">
      <c r="A86" s="2" t="s">
        <v>349</v>
      </c>
      <c r="B86" s="6">
        <f t="shared" si="9"/>
        <v>0</v>
      </c>
      <c r="C86" s="79">
        <f t="shared" si="10"/>
        <v>8.3333333333333329E-2</v>
      </c>
      <c r="D86" s="8">
        <f t="shared" ref="D86" si="12">B86*C86</f>
        <v>0</v>
      </c>
    </row>
    <row r="87" spans="1:5" ht="24" customHeight="1" x14ac:dyDescent="0.25">
      <c r="A87" s="3" t="s">
        <v>235</v>
      </c>
      <c r="B87" s="5">
        <f t="shared" si="9"/>
        <v>2492.9184500000001</v>
      </c>
      <c r="C87" s="81">
        <f t="shared" si="10"/>
        <v>8.3333333333333329E-2</v>
      </c>
      <c r="D87" s="7">
        <f t="shared" si="11"/>
        <v>207.74320416666666</v>
      </c>
    </row>
    <row r="88" spans="1:5" ht="24" customHeight="1" thickBot="1" x14ac:dyDescent="0.3">
      <c r="A88" s="2" t="s">
        <v>236</v>
      </c>
      <c r="B88" s="65">
        <f t="shared" si="9"/>
        <v>2873.7262583333336</v>
      </c>
      <c r="C88" s="80">
        <f t="shared" si="10"/>
        <v>8.3333333333333329E-2</v>
      </c>
      <c r="D88" s="67">
        <f t="shared" si="11"/>
        <v>239.47718819444447</v>
      </c>
    </row>
    <row r="89" spans="1:5" ht="24" customHeight="1" thickBot="1" x14ac:dyDescent="0.3"/>
    <row r="90" spans="1:5" ht="28.5" customHeight="1" thickBot="1" x14ac:dyDescent="0.3">
      <c r="A90" s="354" t="s">
        <v>135</v>
      </c>
      <c r="B90" s="350"/>
      <c r="C90" s="350"/>
      <c r="D90" s="351"/>
    </row>
    <row r="91" spans="1:5" ht="32.25" thickBot="1" x14ac:dyDescent="0.3">
      <c r="A91" s="12" t="s">
        <v>3</v>
      </c>
      <c r="B91" s="13" t="s">
        <v>1</v>
      </c>
      <c r="C91" s="15" t="s">
        <v>129</v>
      </c>
      <c r="D91" s="14" t="s">
        <v>4</v>
      </c>
    </row>
    <row r="92" spans="1:5" ht="24" customHeight="1" x14ac:dyDescent="0.25">
      <c r="A92" s="3" t="s">
        <v>234</v>
      </c>
      <c r="B92" s="5">
        <f>H70</f>
        <v>2284.8468499999999</v>
      </c>
      <c r="C92" s="81">
        <f>1/12</f>
        <v>8.3333333333333329E-2</v>
      </c>
      <c r="D92" s="7">
        <f>B92*C92</f>
        <v>190.40390416666665</v>
      </c>
    </row>
    <row r="93" spans="1:5" ht="24" customHeight="1" thickBot="1" x14ac:dyDescent="0.3">
      <c r="A93" s="4" t="s">
        <v>237</v>
      </c>
      <c r="B93" s="6">
        <f>H71</f>
        <v>2665.6546583333334</v>
      </c>
      <c r="C93" s="79">
        <f t="shared" ref="C93:C97" si="13">1/12</f>
        <v>8.3333333333333329E-2</v>
      </c>
      <c r="D93" s="8">
        <f t="shared" ref="D93:D97" si="14">B93*C93</f>
        <v>222.13788819444443</v>
      </c>
    </row>
    <row r="94" spans="1:5" ht="24" customHeight="1" x14ac:dyDescent="0.25">
      <c r="A94" s="3" t="s">
        <v>259</v>
      </c>
      <c r="B94" s="5">
        <f>H72</f>
        <v>0</v>
      </c>
      <c r="C94" s="81">
        <f>1/12</f>
        <v>8.3333333333333329E-2</v>
      </c>
      <c r="D94" s="7">
        <f>B94*C94</f>
        <v>0</v>
      </c>
    </row>
    <row r="95" spans="1:5" ht="24" customHeight="1" thickBot="1" x14ac:dyDescent="0.3">
      <c r="A95" s="2" t="s">
        <v>349</v>
      </c>
      <c r="B95" s="6">
        <f>H72</f>
        <v>0</v>
      </c>
      <c r="C95" s="79">
        <f t="shared" si="13"/>
        <v>8.3333333333333329E-2</v>
      </c>
      <c r="D95" s="8">
        <f t="shared" ref="D95" si="15">B95*C95</f>
        <v>0</v>
      </c>
    </row>
    <row r="96" spans="1:5" ht="24" customHeight="1" x14ac:dyDescent="0.25">
      <c r="A96" s="3" t="s">
        <v>235</v>
      </c>
      <c r="B96" s="5">
        <f>H74</f>
        <v>2492.9184500000001</v>
      </c>
      <c r="C96" s="81">
        <f t="shared" si="13"/>
        <v>8.3333333333333329E-2</v>
      </c>
      <c r="D96" s="7">
        <f t="shared" si="14"/>
        <v>207.74320416666666</v>
      </c>
    </row>
    <row r="97" spans="1:5" ht="24" customHeight="1" thickBot="1" x14ac:dyDescent="0.3">
      <c r="A97" s="2" t="s">
        <v>236</v>
      </c>
      <c r="B97" s="65">
        <f>H75</f>
        <v>2873.7262583333336</v>
      </c>
      <c r="C97" s="80">
        <f t="shared" si="13"/>
        <v>8.3333333333333329E-2</v>
      </c>
      <c r="D97" s="67">
        <f t="shared" si="14"/>
        <v>239.47718819444447</v>
      </c>
    </row>
    <row r="98" spans="1:5" ht="24" customHeight="1" thickBot="1" x14ac:dyDescent="0.3"/>
    <row r="99" spans="1:5" ht="24" customHeight="1" thickBot="1" x14ac:dyDescent="0.3">
      <c r="A99" s="344" t="s">
        <v>13</v>
      </c>
      <c r="B99" s="345"/>
      <c r="C99" s="345"/>
      <c r="D99" s="345"/>
      <c r="E99" s="346"/>
    </row>
    <row r="100" spans="1:5" ht="32.25" thickBot="1" x14ac:dyDescent="0.3">
      <c r="A100" s="12" t="s">
        <v>3</v>
      </c>
      <c r="B100" s="13" t="s">
        <v>1</v>
      </c>
      <c r="C100" s="15" t="s">
        <v>14</v>
      </c>
      <c r="D100" s="15" t="s">
        <v>129</v>
      </c>
      <c r="E100" s="14" t="s">
        <v>4</v>
      </c>
    </row>
    <row r="101" spans="1:5" ht="24" customHeight="1" x14ac:dyDescent="0.25">
      <c r="A101" s="3" t="s">
        <v>234</v>
      </c>
      <c r="B101" s="5">
        <f t="shared" ref="B101:B106" si="16">H70</f>
        <v>2284.8468499999999</v>
      </c>
      <c r="C101" s="76">
        <f>1/3</f>
        <v>0.33333333333333331</v>
      </c>
      <c r="D101" s="81">
        <f>1/12</f>
        <v>8.3333333333333329E-2</v>
      </c>
      <c r="E101" s="7">
        <f t="shared" ref="E101:E106" si="17">B101*C101*D101</f>
        <v>63.467968055555545</v>
      </c>
    </row>
    <row r="102" spans="1:5" ht="24" customHeight="1" thickBot="1" x14ac:dyDescent="0.3">
      <c r="A102" s="4" t="s">
        <v>237</v>
      </c>
      <c r="B102" s="6">
        <f t="shared" si="16"/>
        <v>2665.6546583333334</v>
      </c>
      <c r="C102" s="82">
        <f t="shared" ref="C102:C106" si="18">1/3</f>
        <v>0.33333333333333331</v>
      </c>
      <c r="D102" s="79">
        <f t="shared" ref="D102:D106" si="19">1/12</f>
        <v>8.3333333333333329E-2</v>
      </c>
      <c r="E102" s="8">
        <f t="shared" si="17"/>
        <v>74.045962731481467</v>
      </c>
    </row>
    <row r="103" spans="1:5" ht="24" customHeight="1" x14ac:dyDescent="0.25">
      <c r="A103" s="3" t="s">
        <v>259</v>
      </c>
      <c r="B103" s="5">
        <f t="shared" si="16"/>
        <v>0</v>
      </c>
      <c r="C103" s="76">
        <f>1/3</f>
        <v>0.33333333333333331</v>
      </c>
      <c r="D103" s="81">
        <f>1/12</f>
        <v>8.3333333333333329E-2</v>
      </c>
      <c r="E103" s="7">
        <f t="shared" ref="E103:E104" si="20">B103*C103*D103</f>
        <v>0</v>
      </c>
    </row>
    <row r="104" spans="1:5" ht="24" customHeight="1" thickBot="1" x14ac:dyDescent="0.3">
      <c r="A104" s="2" t="s">
        <v>349</v>
      </c>
      <c r="B104" s="6">
        <f t="shared" si="16"/>
        <v>0</v>
      </c>
      <c r="C104" s="82">
        <f t="shared" si="18"/>
        <v>0.33333333333333331</v>
      </c>
      <c r="D104" s="79">
        <f t="shared" si="19"/>
        <v>8.3333333333333329E-2</v>
      </c>
      <c r="E104" s="8">
        <f t="shared" si="20"/>
        <v>0</v>
      </c>
    </row>
    <row r="105" spans="1:5" ht="24" customHeight="1" x14ac:dyDescent="0.25">
      <c r="A105" s="3" t="s">
        <v>235</v>
      </c>
      <c r="B105" s="5">
        <f t="shared" si="16"/>
        <v>2492.9184500000001</v>
      </c>
      <c r="C105" s="76">
        <f t="shared" si="18"/>
        <v>0.33333333333333331</v>
      </c>
      <c r="D105" s="81">
        <f t="shared" si="19"/>
        <v>8.3333333333333329E-2</v>
      </c>
      <c r="E105" s="7">
        <f t="shared" si="17"/>
        <v>69.247734722222219</v>
      </c>
    </row>
    <row r="106" spans="1:5" ht="24" customHeight="1" thickBot="1" x14ac:dyDescent="0.3">
      <c r="A106" s="2" t="s">
        <v>236</v>
      </c>
      <c r="B106" s="65">
        <f t="shared" si="16"/>
        <v>2873.7262583333336</v>
      </c>
      <c r="C106" s="77">
        <f t="shared" si="18"/>
        <v>0.33333333333333331</v>
      </c>
      <c r="D106" s="80">
        <f t="shared" si="19"/>
        <v>8.3333333333333329E-2</v>
      </c>
      <c r="E106" s="67">
        <f t="shared" si="17"/>
        <v>79.825729398148155</v>
      </c>
    </row>
    <row r="107" spans="1:5" ht="24" customHeight="1" thickBot="1" x14ac:dyDescent="0.3"/>
    <row r="108" spans="1:5" ht="24" customHeight="1" thickBot="1" x14ac:dyDescent="0.3">
      <c r="A108" s="341" t="s">
        <v>130</v>
      </c>
      <c r="B108" s="342"/>
      <c r="C108" s="342"/>
      <c r="D108" s="342"/>
      <c r="E108" s="343"/>
    </row>
    <row r="109" spans="1:5" ht="24" customHeight="1" thickBot="1" x14ac:dyDescent="0.3">
      <c r="A109" s="12" t="s">
        <v>3</v>
      </c>
      <c r="B109" s="13" t="s">
        <v>126</v>
      </c>
      <c r="C109" s="13" t="s">
        <v>125</v>
      </c>
      <c r="D109" s="13" t="s">
        <v>15</v>
      </c>
      <c r="E109" s="14" t="s">
        <v>12</v>
      </c>
    </row>
    <row r="110" spans="1:5" ht="24" customHeight="1" x14ac:dyDescent="0.25">
      <c r="A110" s="3" t="s">
        <v>234</v>
      </c>
      <c r="B110" s="5">
        <f t="shared" ref="B110:B115" si="21">D83</f>
        <v>190.40390416666665</v>
      </c>
      <c r="C110" s="5">
        <f t="shared" ref="C110:C115" si="22">D92</f>
        <v>190.40390416666665</v>
      </c>
      <c r="D110" s="5">
        <f t="shared" ref="D110:D115" si="23">E101</f>
        <v>63.467968055555545</v>
      </c>
      <c r="E110" s="7">
        <f t="shared" ref="E110:E115" si="24">SUM(B110:D110)</f>
        <v>444.27577638888886</v>
      </c>
    </row>
    <row r="111" spans="1:5" ht="24" customHeight="1" thickBot="1" x14ac:dyDescent="0.3">
      <c r="A111" s="4" t="s">
        <v>237</v>
      </c>
      <c r="B111" s="6">
        <f t="shared" si="21"/>
        <v>222.13788819444443</v>
      </c>
      <c r="C111" s="6">
        <f t="shared" si="22"/>
        <v>222.13788819444443</v>
      </c>
      <c r="D111" s="6">
        <f t="shared" si="23"/>
        <v>74.045962731481467</v>
      </c>
      <c r="E111" s="8">
        <f t="shared" si="24"/>
        <v>518.32173912037035</v>
      </c>
    </row>
    <row r="112" spans="1:5" ht="24" customHeight="1" x14ac:dyDescent="0.25">
      <c r="A112" s="3" t="s">
        <v>259</v>
      </c>
      <c r="B112" s="5">
        <f t="shared" si="21"/>
        <v>0</v>
      </c>
      <c r="C112" s="5">
        <f t="shared" si="22"/>
        <v>0</v>
      </c>
      <c r="D112" s="5">
        <f t="shared" si="23"/>
        <v>0</v>
      </c>
      <c r="E112" s="7">
        <f t="shared" ref="E112:E113" si="25">SUM(B112:D112)</f>
        <v>0</v>
      </c>
    </row>
    <row r="113" spans="1:8" ht="24" customHeight="1" thickBot="1" x14ac:dyDescent="0.3">
      <c r="A113" s="2" t="s">
        <v>349</v>
      </c>
      <c r="B113" s="6">
        <f t="shared" si="21"/>
        <v>0</v>
      </c>
      <c r="C113" s="6">
        <f t="shared" si="22"/>
        <v>0</v>
      </c>
      <c r="D113" s="6">
        <f t="shared" si="23"/>
        <v>0</v>
      </c>
      <c r="E113" s="8">
        <f t="shared" si="25"/>
        <v>0</v>
      </c>
    </row>
    <row r="114" spans="1:8" ht="24" customHeight="1" x14ac:dyDescent="0.25">
      <c r="A114" s="3" t="s">
        <v>235</v>
      </c>
      <c r="B114" s="5">
        <f t="shared" si="21"/>
        <v>207.74320416666666</v>
      </c>
      <c r="C114" s="5">
        <f t="shared" si="22"/>
        <v>207.74320416666666</v>
      </c>
      <c r="D114" s="5">
        <f t="shared" si="23"/>
        <v>69.247734722222219</v>
      </c>
      <c r="E114" s="7">
        <f t="shared" si="24"/>
        <v>484.73414305555553</v>
      </c>
    </row>
    <row r="115" spans="1:8" ht="24" customHeight="1" thickBot="1" x14ac:dyDescent="0.3">
      <c r="A115" s="2" t="s">
        <v>236</v>
      </c>
      <c r="B115" s="65">
        <f t="shared" si="21"/>
        <v>239.47718819444447</v>
      </c>
      <c r="C115" s="65">
        <f t="shared" si="22"/>
        <v>239.47718819444447</v>
      </c>
      <c r="D115" s="65">
        <f t="shared" si="23"/>
        <v>79.825729398148155</v>
      </c>
      <c r="E115" s="67">
        <f t="shared" si="24"/>
        <v>558.78010578703709</v>
      </c>
    </row>
    <row r="117" spans="1:8" ht="24" customHeight="1" x14ac:dyDescent="0.25">
      <c r="A117" s="352" t="s">
        <v>17</v>
      </c>
      <c r="B117" s="353"/>
      <c r="C117" s="353"/>
      <c r="D117" s="353"/>
      <c r="E117" s="353"/>
      <c r="F117" s="353"/>
      <c r="G117" s="353"/>
      <c r="H117" s="353"/>
    </row>
    <row r="118" spans="1:8" ht="24" customHeight="1" x14ac:dyDescent="0.25">
      <c r="A118" s="348" t="s">
        <v>224</v>
      </c>
      <c r="B118" s="348"/>
      <c r="C118" s="348"/>
      <c r="D118" s="348"/>
      <c r="E118" s="348"/>
      <c r="F118" s="348"/>
      <c r="G118" s="348"/>
      <c r="H118" s="348"/>
    </row>
    <row r="119" spans="1:8" ht="24" customHeight="1" thickBot="1" x14ac:dyDescent="0.3"/>
    <row r="120" spans="1:8" ht="24" customHeight="1" thickBot="1" x14ac:dyDescent="0.3">
      <c r="A120" s="349" t="s">
        <v>18</v>
      </c>
      <c r="B120" s="351"/>
    </row>
    <row r="121" spans="1:8" ht="24" customHeight="1" thickBot="1" x14ac:dyDescent="0.3">
      <c r="A121" s="12" t="s">
        <v>19</v>
      </c>
      <c r="B121" s="14" t="s">
        <v>2</v>
      </c>
    </row>
    <row r="122" spans="1:8" ht="24" customHeight="1" x14ac:dyDescent="0.25">
      <c r="A122" s="3" t="s">
        <v>20</v>
      </c>
      <c r="B122" s="17">
        <v>0.2</v>
      </c>
    </row>
    <row r="123" spans="1:8" ht="24" customHeight="1" x14ac:dyDescent="0.25">
      <c r="A123" s="4" t="s">
        <v>21</v>
      </c>
      <c r="B123" s="16">
        <v>2.5000000000000001E-2</v>
      </c>
    </row>
    <row r="124" spans="1:8" ht="24" customHeight="1" x14ac:dyDescent="0.25">
      <c r="A124" s="4" t="s">
        <v>22</v>
      </c>
      <c r="B124" s="118">
        <v>0.06</v>
      </c>
    </row>
    <row r="125" spans="1:8" ht="24" customHeight="1" x14ac:dyDescent="0.25">
      <c r="A125" s="4" t="s">
        <v>23</v>
      </c>
      <c r="B125" s="16">
        <v>1.4999999999999999E-2</v>
      </c>
    </row>
    <row r="126" spans="1:8" ht="24" customHeight="1" x14ac:dyDescent="0.25">
      <c r="A126" s="4" t="s">
        <v>24</v>
      </c>
      <c r="B126" s="16">
        <v>0.01</v>
      </c>
    </row>
    <row r="127" spans="1:8" ht="24" customHeight="1" x14ac:dyDescent="0.25">
      <c r="A127" s="4" t="s">
        <v>25</v>
      </c>
      <c r="B127" s="16">
        <v>6.0000000000000001E-3</v>
      </c>
    </row>
    <row r="128" spans="1:8" ht="24" customHeight="1" x14ac:dyDescent="0.25">
      <c r="A128" s="4" t="s">
        <v>26</v>
      </c>
      <c r="B128" s="16">
        <v>2E-3</v>
      </c>
    </row>
    <row r="129" spans="1:4" ht="24" customHeight="1" thickBot="1" x14ac:dyDescent="0.3">
      <c r="A129" s="2" t="s">
        <v>27</v>
      </c>
      <c r="B129" s="18">
        <v>0.08</v>
      </c>
    </row>
    <row r="130" spans="1:4" ht="24" customHeight="1" thickBot="1" x14ac:dyDescent="0.3">
      <c r="A130" s="124" t="s">
        <v>28</v>
      </c>
      <c r="B130" s="125">
        <f>SUM(B122:B129)</f>
        <v>0.39800000000000008</v>
      </c>
    </row>
    <row r="131" spans="1:4" ht="24" customHeight="1" thickBot="1" x14ac:dyDescent="0.3"/>
    <row r="132" spans="1:4" ht="24" customHeight="1" thickBot="1" x14ac:dyDescent="0.3">
      <c r="A132" s="349" t="s">
        <v>29</v>
      </c>
      <c r="B132" s="350"/>
      <c r="C132" s="350"/>
      <c r="D132" s="351"/>
    </row>
    <row r="133" spans="1:4" ht="24" customHeight="1" thickBot="1" x14ac:dyDescent="0.3">
      <c r="A133" s="12" t="s">
        <v>3</v>
      </c>
      <c r="B133" s="13" t="s">
        <v>1</v>
      </c>
      <c r="C133" s="13" t="s">
        <v>2</v>
      </c>
      <c r="D133" s="14" t="s">
        <v>4</v>
      </c>
    </row>
    <row r="134" spans="1:4" ht="24" customHeight="1" x14ac:dyDescent="0.25">
      <c r="A134" s="3" t="s">
        <v>234</v>
      </c>
      <c r="B134" s="5">
        <f t="shared" ref="B134:B139" si="26">H70+E110</f>
        <v>2729.1226263888889</v>
      </c>
      <c r="C134" s="126">
        <f>SUM($B$122:$B$128)</f>
        <v>0.31800000000000006</v>
      </c>
      <c r="D134" s="7">
        <f>B134*C134</f>
        <v>867.8609951916668</v>
      </c>
    </row>
    <row r="135" spans="1:4" ht="24" customHeight="1" thickBot="1" x14ac:dyDescent="0.3">
      <c r="A135" s="4" t="s">
        <v>237</v>
      </c>
      <c r="B135" s="6">
        <f t="shared" si="26"/>
        <v>3183.9763974537036</v>
      </c>
      <c r="C135" s="127">
        <f t="shared" ref="C135:C139" si="27">SUM($B$122:$B$128)</f>
        <v>0.31800000000000006</v>
      </c>
      <c r="D135" s="8">
        <f t="shared" ref="D135:D139" si="28">B135*C135</f>
        <v>1012.504494390278</v>
      </c>
    </row>
    <row r="136" spans="1:4" ht="24" customHeight="1" x14ac:dyDescent="0.25">
      <c r="A136" s="3" t="s">
        <v>259</v>
      </c>
      <c r="B136" s="5">
        <f t="shared" si="26"/>
        <v>0</v>
      </c>
      <c r="C136" s="126">
        <f>SUM($B$122:$B$128)</f>
        <v>0.31800000000000006</v>
      </c>
      <c r="D136" s="7">
        <f>B136*C136</f>
        <v>0</v>
      </c>
    </row>
    <row r="137" spans="1:4" ht="24" customHeight="1" thickBot="1" x14ac:dyDescent="0.3">
      <c r="A137" s="2" t="s">
        <v>349</v>
      </c>
      <c r="B137" s="6">
        <f t="shared" si="26"/>
        <v>0</v>
      </c>
      <c r="C137" s="127">
        <f t="shared" si="27"/>
        <v>0.31800000000000006</v>
      </c>
      <c r="D137" s="8">
        <f t="shared" ref="D137" si="29">B137*C137</f>
        <v>0</v>
      </c>
    </row>
    <row r="138" spans="1:4" ht="24" customHeight="1" x14ac:dyDescent="0.25">
      <c r="A138" s="3" t="s">
        <v>132</v>
      </c>
      <c r="B138" s="5">
        <f t="shared" si="26"/>
        <v>2977.6525930555558</v>
      </c>
      <c r="C138" s="126">
        <f t="shared" si="27"/>
        <v>0.31800000000000006</v>
      </c>
      <c r="D138" s="7">
        <f t="shared" si="28"/>
        <v>946.89352459166696</v>
      </c>
    </row>
    <row r="139" spans="1:4" ht="24" customHeight="1" thickBot="1" x14ac:dyDescent="0.3">
      <c r="A139" s="2" t="s">
        <v>133</v>
      </c>
      <c r="B139" s="65">
        <f t="shared" si="26"/>
        <v>3432.5063641203706</v>
      </c>
      <c r="C139" s="128">
        <f t="shared" si="27"/>
        <v>0.31800000000000006</v>
      </c>
      <c r="D139" s="67">
        <f t="shared" si="28"/>
        <v>1091.537023790278</v>
      </c>
    </row>
    <row r="140" spans="1:4" ht="24" customHeight="1" thickBot="1" x14ac:dyDescent="0.3"/>
    <row r="141" spans="1:4" ht="24" customHeight="1" thickBot="1" x14ac:dyDescent="0.3">
      <c r="A141" s="349" t="s">
        <v>30</v>
      </c>
      <c r="B141" s="350"/>
      <c r="C141" s="350"/>
      <c r="D141" s="351"/>
    </row>
    <row r="142" spans="1:4" ht="24" customHeight="1" thickBot="1" x14ac:dyDescent="0.3">
      <c r="A142" s="12" t="s">
        <v>3</v>
      </c>
      <c r="B142" s="13" t="s">
        <v>1</v>
      </c>
      <c r="C142" s="13" t="s">
        <v>2</v>
      </c>
      <c r="D142" s="14" t="s">
        <v>4</v>
      </c>
    </row>
    <row r="143" spans="1:4" ht="24" customHeight="1" x14ac:dyDescent="0.25">
      <c r="A143" s="3" t="s">
        <v>234</v>
      </c>
      <c r="B143" s="5">
        <f t="shared" ref="B143:B148" si="30">H70+E110</f>
        <v>2729.1226263888889</v>
      </c>
      <c r="C143" s="81">
        <f>$B$129</f>
        <v>0.08</v>
      </c>
      <c r="D143" s="7">
        <f>B143*C143</f>
        <v>218.3298101111111</v>
      </c>
    </row>
    <row r="144" spans="1:4" ht="24" customHeight="1" thickBot="1" x14ac:dyDescent="0.3">
      <c r="A144" s="4" t="s">
        <v>237</v>
      </c>
      <c r="B144" s="6">
        <f t="shared" si="30"/>
        <v>3183.9763974537036</v>
      </c>
      <c r="C144" s="79">
        <f t="shared" ref="C144:C148" si="31">$B$129</f>
        <v>0.08</v>
      </c>
      <c r="D144" s="8">
        <f t="shared" ref="D144:D148" si="32">B144*C144</f>
        <v>254.71811179629628</v>
      </c>
    </row>
    <row r="145" spans="1:8" ht="24" customHeight="1" x14ac:dyDescent="0.25">
      <c r="A145" s="3" t="s">
        <v>259</v>
      </c>
      <c r="B145" s="5">
        <f t="shared" si="30"/>
        <v>0</v>
      </c>
      <c r="C145" s="81">
        <f>$B$129</f>
        <v>0.08</v>
      </c>
      <c r="D145" s="7">
        <f>B145*C145</f>
        <v>0</v>
      </c>
    </row>
    <row r="146" spans="1:8" ht="24" customHeight="1" thickBot="1" x14ac:dyDescent="0.3">
      <c r="A146" s="2" t="s">
        <v>349</v>
      </c>
      <c r="B146" s="6">
        <f t="shared" si="30"/>
        <v>0</v>
      </c>
      <c r="C146" s="79">
        <f t="shared" si="31"/>
        <v>0.08</v>
      </c>
      <c r="D146" s="8">
        <f t="shared" ref="D146" si="33">B146*C146</f>
        <v>0</v>
      </c>
    </row>
    <row r="147" spans="1:8" ht="24" customHeight="1" x14ac:dyDescent="0.25">
      <c r="A147" s="3" t="s">
        <v>235</v>
      </c>
      <c r="B147" s="5">
        <f t="shared" si="30"/>
        <v>2977.6525930555558</v>
      </c>
      <c r="C147" s="81">
        <f t="shared" si="31"/>
        <v>0.08</v>
      </c>
      <c r="D147" s="7">
        <f t="shared" si="32"/>
        <v>238.21220744444446</v>
      </c>
    </row>
    <row r="148" spans="1:8" ht="24" customHeight="1" thickBot="1" x14ac:dyDescent="0.3">
      <c r="A148" s="2" t="s">
        <v>236</v>
      </c>
      <c r="B148" s="65">
        <f t="shared" si="30"/>
        <v>3432.5063641203706</v>
      </c>
      <c r="C148" s="80">
        <f t="shared" si="31"/>
        <v>0.08</v>
      </c>
      <c r="D148" s="67">
        <f t="shared" si="32"/>
        <v>274.60050912962964</v>
      </c>
    </row>
    <row r="149" spans="1:8" ht="24" customHeight="1" thickBot="1" x14ac:dyDescent="0.3"/>
    <row r="150" spans="1:8" ht="24" customHeight="1" thickBot="1" x14ac:dyDescent="0.3">
      <c r="A150" s="349" t="s">
        <v>17</v>
      </c>
      <c r="B150" s="350"/>
      <c r="C150" s="350"/>
      <c r="D150" s="351"/>
    </row>
    <row r="151" spans="1:8" ht="24" customHeight="1" thickBot="1" x14ac:dyDescent="0.3">
      <c r="A151" s="12" t="s">
        <v>3</v>
      </c>
      <c r="B151" s="13" t="s">
        <v>31</v>
      </c>
      <c r="C151" s="13" t="s">
        <v>27</v>
      </c>
      <c r="D151" s="14" t="s">
        <v>12</v>
      </c>
    </row>
    <row r="152" spans="1:8" ht="24" customHeight="1" x14ac:dyDescent="0.25">
      <c r="A152" s="3" t="s">
        <v>234</v>
      </c>
      <c r="B152" s="5">
        <f t="shared" ref="B152:B157" si="34">D134</f>
        <v>867.8609951916668</v>
      </c>
      <c r="C152" s="5">
        <f t="shared" ref="C152:C157" si="35">D143</f>
        <v>218.3298101111111</v>
      </c>
      <c r="D152" s="7">
        <f>B152+C152</f>
        <v>1086.1908053027778</v>
      </c>
    </row>
    <row r="153" spans="1:8" ht="24" customHeight="1" thickBot="1" x14ac:dyDescent="0.3">
      <c r="A153" s="4" t="s">
        <v>237</v>
      </c>
      <c r="B153" s="6">
        <f t="shared" si="34"/>
        <v>1012.504494390278</v>
      </c>
      <c r="C153" s="6">
        <f t="shared" si="35"/>
        <v>254.71811179629628</v>
      </c>
      <c r="D153" s="8">
        <f t="shared" ref="D153:D157" si="36">B153+C153</f>
        <v>1267.2226061865742</v>
      </c>
    </row>
    <row r="154" spans="1:8" ht="24" customHeight="1" x14ac:dyDescent="0.25">
      <c r="A154" s="3" t="s">
        <v>259</v>
      </c>
      <c r="B154" s="5">
        <f t="shared" si="34"/>
        <v>0</v>
      </c>
      <c r="C154" s="5">
        <f t="shared" si="35"/>
        <v>0</v>
      </c>
      <c r="D154" s="7">
        <f>B154+C154</f>
        <v>0</v>
      </c>
    </row>
    <row r="155" spans="1:8" ht="24" customHeight="1" thickBot="1" x14ac:dyDescent="0.3">
      <c r="A155" s="2" t="s">
        <v>349</v>
      </c>
      <c r="B155" s="6">
        <f t="shared" si="34"/>
        <v>0</v>
      </c>
      <c r="C155" s="6">
        <f t="shared" si="35"/>
        <v>0</v>
      </c>
      <c r="D155" s="8">
        <f t="shared" ref="D155" si="37">B155+C155</f>
        <v>0</v>
      </c>
    </row>
    <row r="156" spans="1:8" ht="24" customHeight="1" x14ac:dyDescent="0.25">
      <c r="A156" s="3" t="s">
        <v>235</v>
      </c>
      <c r="B156" s="5">
        <f t="shared" si="34"/>
        <v>946.89352459166696</v>
      </c>
      <c r="C156" s="5">
        <f t="shared" si="35"/>
        <v>238.21220744444446</v>
      </c>
      <c r="D156" s="7">
        <f t="shared" si="36"/>
        <v>1185.1057320361115</v>
      </c>
    </row>
    <row r="157" spans="1:8" ht="24" customHeight="1" thickBot="1" x14ac:dyDescent="0.3">
      <c r="A157" s="2" t="s">
        <v>236</v>
      </c>
      <c r="B157" s="65">
        <f t="shared" si="34"/>
        <v>1091.537023790278</v>
      </c>
      <c r="C157" s="65">
        <f t="shared" si="35"/>
        <v>274.60050912962964</v>
      </c>
      <c r="D157" s="67">
        <f t="shared" si="36"/>
        <v>1366.1375329199077</v>
      </c>
    </row>
    <row r="159" spans="1:8" ht="24" customHeight="1" x14ac:dyDescent="0.25">
      <c r="A159" s="352" t="s">
        <v>32</v>
      </c>
      <c r="B159" s="353"/>
      <c r="C159" s="353"/>
      <c r="D159" s="353"/>
      <c r="E159" s="353"/>
      <c r="F159" s="353"/>
      <c r="G159" s="353"/>
      <c r="H159" s="353"/>
    </row>
    <row r="161" spans="1:7" ht="24" customHeight="1" x14ac:dyDescent="0.25">
      <c r="A161" s="378" t="s">
        <v>344</v>
      </c>
      <c r="B161" s="378"/>
      <c r="C161" s="378"/>
      <c r="D161" s="378"/>
      <c r="E161" s="378"/>
      <c r="G161" s="90"/>
    </row>
    <row r="162" spans="1:7" ht="24" customHeight="1" thickBot="1" x14ac:dyDescent="0.3"/>
    <row r="163" spans="1:7" ht="24" customHeight="1" thickBot="1" x14ac:dyDescent="0.3">
      <c r="A163" s="341" t="s">
        <v>37</v>
      </c>
      <c r="B163" s="342"/>
      <c r="C163" s="342"/>
      <c r="D163" s="342"/>
      <c r="E163" s="343"/>
    </row>
    <row r="164" spans="1:7" ht="32.25" thickBot="1" x14ac:dyDescent="0.3">
      <c r="A164" s="12" t="s">
        <v>3</v>
      </c>
      <c r="B164" s="13" t="s">
        <v>33</v>
      </c>
      <c r="C164" s="13" t="s">
        <v>34</v>
      </c>
      <c r="D164" s="15" t="s">
        <v>36</v>
      </c>
      <c r="E164" s="14" t="s">
        <v>35</v>
      </c>
    </row>
    <row r="165" spans="1:7" ht="24" customHeight="1" x14ac:dyDescent="0.25">
      <c r="A165" s="3" t="s">
        <v>234</v>
      </c>
      <c r="B165" s="5">
        <v>0</v>
      </c>
      <c r="C165" s="19">
        <v>2</v>
      </c>
      <c r="D165" s="19">
        <v>15</v>
      </c>
      <c r="E165" s="7">
        <f t="shared" ref="E165:E170" si="38">B165*C165*D165</f>
        <v>0</v>
      </c>
    </row>
    <row r="166" spans="1:7" ht="24" customHeight="1" thickBot="1" x14ac:dyDescent="0.3">
      <c r="A166" s="4" t="s">
        <v>237</v>
      </c>
      <c r="B166" s="6">
        <f>B165</f>
        <v>0</v>
      </c>
      <c r="C166" s="20">
        <f t="shared" ref="C166:C168" si="39">C165</f>
        <v>2</v>
      </c>
      <c r="D166" s="20">
        <v>15</v>
      </c>
      <c r="E166" s="8">
        <f t="shared" si="38"/>
        <v>0</v>
      </c>
    </row>
    <row r="167" spans="1:7" ht="24" customHeight="1" x14ac:dyDescent="0.25">
      <c r="A167" s="3" t="s">
        <v>259</v>
      </c>
      <c r="B167" s="5">
        <v>0</v>
      </c>
      <c r="C167" s="19">
        <v>2</v>
      </c>
      <c r="D167" s="19">
        <v>15</v>
      </c>
      <c r="E167" s="7">
        <f t="shared" ref="E167:E168" si="40">B167*C167*D167</f>
        <v>0</v>
      </c>
    </row>
    <row r="168" spans="1:7" ht="24" customHeight="1" thickBot="1" x14ac:dyDescent="0.3">
      <c r="A168" s="2" t="s">
        <v>349</v>
      </c>
      <c r="B168" s="6">
        <v>0</v>
      </c>
      <c r="C168" s="20">
        <f t="shared" si="39"/>
        <v>2</v>
      </c>
      <c r="D168" s="20">
        <v>15</v>
      </c>
      <c r="E168" s="8">
        <f t="shared" si="40"/>
        <v>0</v>
      </c>
    </row>
    <row r="169" spans="1:7" ht="24" customHeight="1" x14ac:dyDescent="0.25">
      <c r="A169" s="3" t="s">
        <v>235</v>
      </c>
      <c r="B169" s="5">
        <f>B165</f>
        <v>0</v>
      </c>
      <c r="C169" s="19">
        <v>2</v>
      </c>
      <c r="D169" s="19">
        <v>15</v>
      </c>
      <c r="E169" s="7">
        <f t="shared" si="38"/>
        <v>0</v>
      </c>
    </row>
    <row r="170" spans="1:7" ht="24" customHeight="1" thickBot="1" x14ac:dyDescent="0.3">
      <c r="A170" s="2" t="s">
        <v>236</v>
      </c>
      <c r="B170" s="65">
        <f>B166</f>
        <v>0</v>
      </c>
      <c r="C170" s="21">
        <v>2</v>
      </c>
      <c r="D170" s="21">
        <v>15</v>
      </c>
      <c r="E170" s="67">
        <f t="shared" si="38"/>
        <v>0</v>
      </c>
    </row>
    <row r="171" spans="1:7" ht="24" customHeight="1" thickBot="1" x14ac:dyDescent="0.3"/>
    <row r="172" spans="1:7" ht="24" customHeight="1" thickBot="1" x14ac:dyDescent="0.3">
      <c r="A172" s="341" t="s">
        <v>41</v>
      </c>
      <c r="B172" s="342"/>
      <c r="C172" s="342"/>
      <c r="D172" s="342"/>
      <c r="E172" s="343"/>
    </row>
    <row r="173" spans="1:7" ht="24" customHeight="1" thickBot="1" x14ac:dyDescent="0.3">
      <c r="A173" s="12" t="s">
        <v>3</v>
      </c>
      <c r="B173" s="13" t="s">
        <v>1</v>
      </c>
      <c r="C173" s="13" t="s">
        <v>38</v>
      </c>
      <c r="D173" s="13" t="s">
        <v>2</v>
      </c>
      <c r="E173" s="14" t="s">
        <v>39</v>
      </c>
    </row>
    <row r="174" spans="1:7" ht="24" customHeight="1" x14ac:dyDescent="0.25">
      <c r="A174" s="3" t="s">
        <v>234</v>
      </c>
      <c r="B174" s="5">
        <v>0</v>
      </c>
      <c r="C174" s="70">
        <v>0.5</v>
      </c>
      <c r="D174" s="70">
        <v>0.06</v>
      </c>
      <c r="E174" s="7">
        <f t="shared" ref="E174:E179" si="41">B174*C174*D174</f>
        <v>0</v>
      </c>
    </row>
    <row r="175" spans="1:7" ht="24" customHeight="1" thickBot="1" x14ac:dyDescent="0.3">
      <c r="A175" s="4" t="s">
        <v>237</v>
      </c>
      <c r="B175" s="6">
        <v>0</v>
      </c>
      <c r="C175" s="71">
        <v>0.5</v>
      </c>
      <c r="D175" s="71">
        <v>0.06</v>
      </c>
      <c r="E175" s="8">
        <f t="shared" si="41"/>
        <v>0</v>
      </c>
    </row>
    <row r="176" spans="1:7" ht="24" customHeight="1" x14ac:dyDescent="0.25">
      <c r="A176" s="3" t="s">
        <v>259</v>
      </c>
      <c r="B176" s="5">
        <v>0</v>
      </c>
      <c r="C176" s="70">
        <v>0.5</v>
      </c>
      <c r="D176" s="70">
        <v>0.06</v>
      </c>
      <c r="E176" s="7">
        <f t="shared" ref="E176:E177" si="42">B176*C176*D176</f>
        <v>0</v>
      </c>
    </row>
    <row r="177" spans="1:7" ht="24" customHeight="1" thickBot="1" x14ac:dyDescent="0.3">
      <c r="A177" s="2" t="s">
        <v>349</v>
      </c>
      <c r="B177" s="6">
        <v>0</v>
      </c>
      <c r="C177" s="71">
        <v>0.5</v>
      </c>
      <c r="D177" s="71">
        <v>0.06</v>
      </c>
      <c r="E177" s="8">
        <f t="shared" si="42"/>
        <v>0</v>
      </c>
    </row>
    <row r="178" spans="1:7" ht="24" customHeight="1" x14ac:dyDescent="0.25">
      <c r="A178" s="3" t="s">
        <v>235</v>
      </c>
      <c r="B178" s="5">
        <v>0</v>
      </c>
      <c r="C178" s="70">
        <v>0.5</v>
      </c>
      <c r="D178" s="70">
        <v>0.06</v>
      </c>
      <c r="E178" s="7">
        <f t="shared" si="41"/>
        <v>0</v>
      </c>
    </row>
    <row r="179" spans="1:7" ht="24" customHeight="1" thickBot="1" x14ac:dyDescent="0.3">
      <c r="A179" s="2" t="s">
        <v>236</v>
      </c>
      <c r="B179" s="65">
        <v>0</v>
      </c>
      <c r="C179" s="72">
        <v>0.5</v>
      </c>
      <c r="D179" s="72">
        <v>0.06</v>
      </c>
      <c r="E179" s="67">
        <f t="shared" si="41"/>
        <v>0</v>
      </c>
    </row>
    <row r="180" spans="1:7" ht="24" customHeight="1" thickBot="1" x14ac:dyDescent="0.3"/>
    <row r="181" spans="1:7" ht="24" customHeight="1" thickBot="1" x14ac:dyDescent="0.3">
      <c r="A181" s="349" t="s">
        <v>43</v>
      </c>
      <c r="B181" s="350"/>
      <c r="C181" s="350"/>
      <c r="D181" s="351"/>
    </row>
    <row r="182" spans="1:7" ht="24" customHeight="1" thickBot="1" x14ac:dyDescent="0.3">
      <c r="A182" s="12" t="s">
        <v>3</v>
      </c>
      <c r="B182" s="13" t="s">
        <v>35</v>
      </c>
      <c r="C182" s="13" t="s">
        <v>40</v>
      </c>
      <c r="D182" s="14" t="s">
        <v>42</v>
      </c>
    </row>
    <row r="183" spans="1:7" ht="24" customHeight="1" x14ac:dyDescent="0.25">
      <c r="A183" s="3" t="s">
        <v>234</v>
      </c>
      <c r="B183" s="5">
        <f t="shared" ref="B183:B188" si="43">E165</f>
        <v>0</v>
      </c>
      <c r="C183" s="5">
        <f t="shared" ref="C183:C188" si="44">E174</f>
        <v>0</v>
      </c>
      <c r="D183" s="7">
        <f>B183-C183</f>
        <v>0</v>
      </c>
    </row>
    <row r="184" spans="1:7" ht="24" customHeight="1" thickBot="1" x14ac:dyDescent="0.3">
      <c r="A184" s="4" t="s">
        <v>237</v>
      </c>
      <c r="B184" s="6">
        <f t="shared" si="43"/>
        <v>0</v>
      </c>
      <c r="C184" s="6">
        <f t="shared" si="44"/>
        <v>0</v>
      </c>
      <c r="D184" s="8">
        <f t="shared" ref="D184:D188" si="45">B184-C184</f>
        <v>0</v>
      </c>
    </row>
    <row r="185" spans="1:7" ht="24" customHeight="1" x14ac:dyDescent="0.25">
      <c r="A185" s="3" t="s">
        <v>259</v>
      </c>
      <c r="B185" s="5">
        <f t="shared" si="43"/>
        <v>0</v>
      </c>
      <c r="C185" s="5">
        <f t="shared" si="44"/>
        <v>0</v>
      </c>
      <c r="D185" s="7">
        <f>B185-C185</f>
        <v>0</v>
      </c>
    </row>
    <row r="186" spans="1:7" ht="24" customHeight="1" thickBot="1" x14ac:dyDescent="0.3">
      <c r="A186" s="2" t="s">
        <v>349</v>
      </c>
      <c r="B186" s="6">
        <f t="shared" si="43"/>
        <v>0</v>
      </c>
      <c r="C186" s="6">
        <f t="shared" si="44"/>
        <v>0</v>
      </c>
      <c r="D186" s="8">
        <f t="shared" ref="D186" si="46">B186-C186</f>
        <v>0</v>
      </c>
    </row>
    <row r="187" spans="1:7" ht="24" customHeight="1" x14ac:dyDescent="0.25">
      <c r="A187" s="3" t="s">
        <v>235</v>
      </c>
      <c r="B187" s="5">
        <f t="shared" si="43"/>
        <v>0</v>
      </c>
      <c r="C187" s="5">
        <f t="shared" si="44"/>
        <v>0</v>
      </c>
      <c r="D187" s="7">
        <f t="shared" si="45"/>
        <v>0</v>
      </c>
    </row>
    <row r="188" spans="1:7" ht="24" customHeight="1" thickBot="1" x14ac:dyDescent="0.3">
      <c r="A188" s="2" t="s">
        <v>236</v>
      </c>
      <c r="B188" s="65">
        <f t="shared" si="43"/>
        <v>0</v>
      </c>
      <c r="C188" s="65">
        <f t="shared" si="44"/>
        <v>0</v>
      </c>
      <c r="D188" s="67">
        <f t="shared" si="45"/>
        <v>0</v>
      </c>
    </row>
    <row r="190" spans="1:7" ht="24" customHeight="1" x14ac:dyDescent="0.25">
      <c r="A190" s="378" t="s">
        <v>267</v>
      </c>
      <c r="B190" s="378"/>
      <c r="C190" s="378"/>
      <c r="D190" s="378"/>
      <c r="G190" s="90"/>
    </row>
    <row r="191" spans="1:7" ht="24" customHeight="1" thickBot="1" x14ac:dyDescent="0.3"/>
    <row r="192" spans="1:7" ht="24" customHeight="1" thickBot="1" x14ac:dyDescent="0.3">
      <c r="A192" s="349" t="s">
        <v>241</v>
      </c>
      <c r="B192" s="350"/>
      <c r="C192" s="350"/>
      <c r="D192" s="351"/>
    </row>
    <row r="193" spans="1:4" ht="32.450000000000003" customHeight="1" thickBot="1" x14ac:dyDescent="0.3">
      <c r="A193" s="37" t="s">
        <v>3</v>
      </c>
      <c r="B193" s="38" t="s">
        <v>44</v>
      </c>
      <c r="C193" s="11" t="s">
        <v>36</v>
      </c>
      <c r="D193" s="39" t="s">
        <v>4</v>
      </c>
    </row>
    <row r="194" spans="1:4" ht="24" customHeight="1" x14ac:dyDescent="0.25">
      <c r="A194" s="251" t="s">
        <v>234</v>
      </c>
      <c r="B194" s="330">
        <v>32.619999999999997</v>
      </c>
      <c r="C194" s="253">
        <f t="shared" ref="C194:C199" si="47">D165</f>
        <v>15</v>
      </c>
      <c r="D194" s="7">
        <f>B194*C194</f>
        <v>489.29999999999995</v>
      </c>
    </row>
    <row r="195" spans="1:4" ht="24" customHeight="1" thickBot="1" x14ac:dyDescent="0.3">
      <c r="A195" s="256" t="s">
        <v>237</v>
      </c>
      <c r="B195" s="331">
        <f>B194</f>
        <v>32.619999999999997</v>
      </c>
      <c r="C195" s="254">
        <f t="shared" si="47"/>
        <v>15</v>
      </c>
      <c r="D195" s="8">
        <f t="shared" ref="D195:D199" si="48">B195*C195</f>
        <v>489.29999999999995</v>
      </c>
    </row>
    <row r="196" spans="1:4" ht="24" customHeight="1" x14ac:dyDescent="0.25">
      <c r="A196" s="251" t="s">
        <v>259</v>
      </c>
      <c r="B196" s="330">
        <v>0</v>
      </c>
      <c r="C196" s="253">
        <f t="shared" si="47"/>
        <v>15</v>
      </c>
      <c r="D196" s="7">
        <f>B196*C196</f>
        <v>0</v>
      </c>
    </row>
    <row r="197" spans="1:4" ht="24" customHeight="1" thickBot="1" x14ac:dyDescent="0.3">
      <c r="A197" s="252" t="s">
        <v>349</v>
      </c>
      <c r="B197" s="331">
        <f t="shared" ref="B197:B199" si="49">B196</f>
        <v>0</v>
      </c>
      <c r="C197" s="254">
        <f t="shared" si="47"/>
        <v>15</v>
      </c>
      <c r="D197" s="8">
        <f t="shared" ref="D197" si="50">B197*C197</f>
        <v>0</v>
      </c>
    </row>
    <row r="198" spans="1:4" ht="24" customHeight="1" x14ac:dyDescent="0.25">
      <c r="A198" s="251" t="s">
        <v>235</v>
      </c>
      <c r="B198" s="330">
        <f>B195</f>
        <v>32.619999999999997</v>
      </c>
      <c r="C198" s="253">
        <f t="shared" si="47"/>
        <v>15</v>
      </c>
      <c r="D198" s="7">
        <f t="shared" si="48"/>
        <v>489.29999999999995</v>
      </c>
    </row>
    <row r="199" spans="1:4" ht="24" customHeight="1" thickBot="1" x14ac:dyDescent="0.3">
      <c r="A199" s="252" t="s">
        <v>236</v>
      </c>
      <c r="B199" s="331">
        <f t="shared" si="49"/>
        <v>32.619999999999997</v>
      </c>
      <c r="C199" s="255">
        <f t="shared" si="47"/>
        <v>15</v>
      </c>
      <c r="D199" s="67">
        <f t="shared" si="48"/>
        <v>489.29999999999995</v>
      </c>
    </row>
    <row r="200" spans="1:4" ht="24" customHeight="1" thickBot="1" x14ac:dyDescent="0.3"/>
    <row r="201" spans="1:4" ht="24" customHeight="1" thickBot="1" x14ac:dyDescent="0.3">
      <c r="A201" s="349" t="s">
        <v>45</v>
      </c>
      <c r="B201" s="350"/>
      <c r="C201" s="350"/>
      <c r="D201" s="351"/>
    </row>
    <row r="202" spans="1:4" ht="24" customHeight="1" thickBot="1" x14ac:dyDescent="0.3">
      <c r="A202" s="12" t="s">
        <v>3</v>
      </c>
      <c r="B202" s="13" t="s">
        <v>1</v>
      </c>
      <c r="C202" s="13" t="s">
        <v>2</v>
      </c>
      <c r="D202" s="14" t="s">
        <v>39</v>
      </c>
    </row>
    <row r="203" spans="1:4" ht="24" customHeight="1" x14ac:dyDescent="0.25">
      <c r="A203" s="3" t="s">
        <v>234</v>
      </c>
      <c r="B203" s="5">
        <f>$B$12</f>
        <v>1733.93</v>
      </c>
      <c r="C203" s="70">
        <v>0.01</v>
      </c>
      <c r="D203" s="7">
        <f>B203*C203</f>
        <v>17.339300000000001</v>
      </c>
    </row>
    <row r="204" spans="1:4" ht="24" customHeight="1" thickBot="1" x14ac:dyDescent="0.3">
      <c r="A204" s="73" t="s">
        <v>237</v>
      </c>
      <c r="B204" s="74">
        <f>$B$12</f>
        <v>1733.93</v>
      </c>
      <c r="C204" s="75">
        <v>0.01</v>
      </c>
      <c r="D204" s="78">
        <f t="shared" ref="D204:D208" si="51">B204*C204</f>
        <v>17.339300000000001</v>
      </c>
    </row>
    <row r="205" spans="1:4" ht="24" customHeight="1" x14ac:dyDescent="0.25">
      <c r="A205" s="3" t="s">
        <v>259</v>
      </c>
      <c r="B205" s="5">
        <v>0</v>
      </c>
      <c r="C205" s="70">
        <v>0.01</v>
      </c>
      <c r="D205" s="7">
        <f>B205*C205</f>
        <v>0</v>
      </c>
    </row>
    <row r="206" spans="1:4" ht="24" customHeight="1" thickBot="1" x14ac:dyDescent="0.3">
      <c r="A206" s="2" t="s">
        <v>349</v>
      </c>
      <c r="B206" s="74">
        <v>0</v>
      </c>
      <c r="C206" s="75">
        <v>0.01</v>
      </c>
      <c r="D206" s="78">
        <f t="shared" ref="D206" si="52">B206*C206</f>
        <v>0</v>
      </c>
    </row>
    <row r="207" spans="1:4" ht="24" customHeight="1" x14ac:dyDescent="0.25">
      <c r="A207" s="3" t="s">
        <v>235</v>
      </c>
      <c r="B207" s="5">
        <f>$B$13</f>
        <v>1733.93</v>
      </c>
      <c r="C207" s="70">
        <v>0.01</v>
      </c>
      <c r="D207" s="7">
        <f t="shared" si="51"/>
        <v>17.339300000000001</v>
      </c>
    </row>
    <row r="208" spans="1:4" ht="24" customHeight="1" thickBot="1" x14ac:dyDescent="0.3">
      <c r="A208" s="2" t="s">
        <v>236</v>
      </c>
      <c r="B208" s="65">
        <f>B207</f>
        <v>1733.93</v>
      </c>
      <c r="C208" s="72">
        <v>0.01</v>
      </c>
      <c r="D208" s="67">
        <f t="shared" si="51"/>
        <v>17.339300000000001</v>
      </c>
    </row>
    <row r="209" spans="1:4" ht="24" customHeight="1" thickBot="1" x14ac:dyDescent="0.3"/>
    <row r="210" spans="1:4" ht="24" customHeight="1" thickBot="1" x14ac:dyDescent="0.3">
      <c r="A210" s="349" t="s">
        <v>46</v>
      </c>
      <c r="B210" s="350"/>
      <c r="C210" s="350"/>
      <c r="D210" s="351"/>
    </row>
    <row r="211" spans="1:4" ht="24" customHeight="1" thickBot="1" x14ac:dyDescent="0.3">
      <c r="A211" s="12" t="s">
        <v>3</v>
      </c>
      <c r="B211" s="13" t="s">
        <v>35</v>
      </c>
      <c r="C211" s="13" t="s">
        <v>39</v>
      </c>
      <c r="D211" s="14" t="s">
        <v>42</v>
      </c>
    </row>
    <row r="212" spans="1:4" ht="24" customHeight="1" x14ac:dyDescent="0.25">
      <c r="A212" s="3" t="s">
        <v>234</v>
      </c>
      <c r="B212" s="5">
        <f t="shared" ref="B212:B217" si="53">D194</f>
        <v>489.29999999999995</v>
      </c>
      <c r="C212" s="5">
        <f t="shared" ref="C212:C217" si="54">D203</f>
        <v>17.339300000000001</v>
      </c>
      <c r="D212" s="7">
        <f>B212-C212</f>
        <v>471.96069999999997</v>
      </c>
    </row>
    <row r="213" spans="1:4" ht="24" customHeight="1" thickBot="1" x14ac:dyDescent="0.3">
      <c r="A213" s="4" t="s">
        <v>237</v>
      </c>
      <c r="B213" s="6">
        <f t="shared" si="53"/>
        <v>489.29999999999995</v>
      </c>
      <c r="C213" s="6">
        <f t="shared" si="54"/>
        <v>17.339300000000001</v>
      </c>
      <c r="D213" s="8">
        <f t="shared" ref="D213:D217" si="55">B213-C213</f>
        <v>471.96069999999997</v>
      </c>
    </row>
    <row r="214" spans="1:4" ht="24" customHeight="1" x14ac:dyDescent="0.25">
      <c r="A214" s="3" t="s">
        <v>259</v>
      </c>
      <c r="B214" s="5">
        <f t="shared" si="53"/>
        <v>0</v>
      </c>
      <c r="C214" s="5">
        <f t="shared" si="54"/>
        <v>0</v>
      </c>
      <c r="D214" s="7">
        <f>B214-C214</f>
        <v>0</v>
      </c>
    </row>
    <row r="215" spans="1:4" ht="24" customHeight="1" thickBot="1" x14ac:dyDescent="0.3">
      <c r="A215" s="2" t="s">
        <v>349</v>
      </c>
      <c r="B215" s="6">
        <f t="shared" si="53"/>
        <v>0</v>
      </c>
      <c r="C215" s="6">
        <f t="shared" si="54"/>
        <v>0</v>
      </c>
      <c r="D215" s="8">
        <f t="shared" ref="D215" si="56">B215-C215</f>
        <v>0</v>
      </c>
    </row>
    <row r="216" spans="1:4" ht="24" customHeight="1" x14ac:dyDescent="0.25">
      <c r="A216" s="3" t="s">
        <v>235</v>
      </c>
      <c r="B216" s="5">
        <f t="shared" si="53"/>
        <v>489.29999999999995</v>
      </c>
      <c r="C216" s="5">
        <f t="shared" si="54"/>
        <v>17.339300000000001</v>
      </c>
      <c r="D216" s="7">
        <f t="shared" si="55"/>
        <v>471.96069999999997</v>
      </c>
    </row>
    <row r="217" spans="1:4" ht="24" customHeight="1" thickBot="1" x14ac:dyDescent="0.3">
      <c r="A217" s="2" t="s">
        <v>236</v>
      </c>
      <c r="B217" s="65">
        <f t="shared" si="53"/>
        <v>489.29999999999995</v>
      </c>
      <c r="C217" s="65">
        <f t="shared" si="54"/>
        <v>17.339300000000001</v>
      </c>
      <c r="D217" s="67">
        <f t="shared" si="55"/>
        <v>471.96069999999997</v>
      </c>
    </row>
    <row r="218" spans="1:4" ht="24" customHeight="1" thickBot="1" x14ac:dyDescent="0.3"/>
    <row r="219" spans="1:4" ht="24" customHeight="1" thickBot="1" x14ac:dyDescent="0.3">
      <c r="A219" s="349" t="s">
        <v>348</v>
      </c>
      <c r="B219" s="350"/>
      <c r="C219" s="350"/>
      <c r="D219" s="351"/>
    </row>
    <row r="220" spans="1:4" ht="24" customHeight="1" thickBot="1" x14ac:dyDescent="0.3">
      <c r="A220" s="375"/>
      <c r="B220" s="375"/>
      <c r="C220" s="375"/>
      <c r="D220" s="375"/>
    </row>
    <row r="221" spans="1:4" ht="37.9" customHeight="1" thickBot="1" x14ac:dyDescent="0.3">
      <c r="A221" s="344" t="s">
        <v>268</v>
      </c>
      <c r="B221" s="345"/>
      <c r="C221" s="345"/>
      <c r="D221" s="346"/>
    </row>
    <row r="222" spans="1:4" ht="24" customHeight="1" thickBot="1" x14ac:dyDescent="0.3">
      <c r="A222" s="12" t="s">
        <v>3</v>
      </c>
      <c r="B222" s="13"/>
      <c r="C222" s="13"/>
      <c r="D222" s="14"/>
    </row>
    <row r="223" spans="1:4" ht="24" customHeight="1" x14ac:dyDescent="0.25">
      <c r="A223" s="3" t="s">
        <v>234</v>
      </c>
      <c r="B223" s="5"/>
      <c r="C223" s="5"/>
      <c r="D223" s="333">
        <v>83.88</v>
      </c>
    </row>
    <row r="224" spans="1:4" ht="24" customHeight="1" thickBot="1" x14ac:dyDescent="0.3">
      <c r="A224" s="2" t="s">
        <v>237</v>
      </c>
      <c r="B224" s="65"/>
      <c r="C224" s="65"/>
      <c r="D224" s="334">
        <f>D223</f>
        <v>83.88</v>
      </c>
    </row>
    <row r="225" spans="1:8" ht="24" customHeight="1" x14ac:dyDescent="0.25">
      <c r="A225" s="3" t="s">
        <v>259</v>
      </c>
      <c r="B225" s="5"/>
      <c r="C225" s="5"/>
      <c r="D225" s="333">
        <v>0</v>
      </c>
    </row>
    <row r="226" spans="1:8" ht="24" customHeight="1" thickBot="1" x14ac:dyDescent="0.3">
      <c r="A226" s="2" t="s">
        <v>349</v>
      </c>
      <c r="B226" s="65"/>
      <c r="C226" s="65"/>
      <c r="D226" s="334">
        <v>0</v>
      </c>
    </row>
    <row r="227" spans="1:8" ht="24" customHeight="1" x14ac:dyDescent="0.25">
      <c r="A227" s="3" t="s">
        <v>235</v>
      </c>
      <c r="B227" s="5"/>
      <c r="C227" s="5"/>
      <c r="D227" s="333">
        <f>D223</f>
        <v>83.88</v>
      </c>
    </row>
    <row r="228" spans="1:8" ht="24" customHeight="1" thickBot="1" x14ac:dyDescent="0.3">
      <c r="A228" s="2" t="s">
        <v>236</v>
      </c>
      <c r="B228" s="65"/>
      <c r="C228" s="65"/>
      <c r="D228" s="334">
        <f>D224</f>
        <v>83.88</v>
      </c>
    </row>
    <row r="229" spans="1:8" ht="24" customHeight="1" thickBot="1" x14ac:dyDescent="0.3"/>
    <row r="230" spans="1:8" ht="16.5" thickBot="1" x14ac:dyDescent="0.3">
      <c r="A230" s="344" t="s">
        <v>258</v>
      </c>
      <c r="B230" s="342"/>
      <c r="C230" s="342"/>
      <c r="D230" s="343"/>
      <c r="E230" s="170"/>
      <c r="F230" s="170"/>
      <c r="G230" s="170"/>
      <c r="H230" s="170"/>
    </row>
    <row r="231" spans="1:8" ht="24" customHeight="1" thickBot="1" x14ac:dyDescent="0.3"/>
    <row r="232" spans="1:8" ht="24" customHeight="1" thickBot="1" x14ac:dyDescent="0.3">
      <c r="A232" s="349" t="s">
        <v>222</v>
      </c>
      <c r="B232" s="350"/>
      <c r="C232" s="350"/>
      <c r="D232" s="351"/>
    </row>
    <row r="233" spans="1:8" ht="24" customHeight="1" thickBot="1" x14ac:dyDescent="0.3">
      <c r="A233" s="12" t="s">
        <v>3</v>
      </c>
      <c r="B233" s="13"/>
      <c r="C233" s="13"/>
      <c r="D233" s="14"/>
    </row>
    <row r="234" spans="1:8" ht="24" customHeight="1" x14ac:dyDescent="0.25">
      <c r="A234" s="3" t="s">
        <v>234</v>
      </c>
      <c r="B234" s="5"/>
      <c r="C234" s="5"/>
      <c r="D234" s="7"/>
    </row>
    <row r="235" spans="1:8" ht="24" customHeight="1" thickBot="1" x14ac:dyDescent="0.3">
      <c r="A235" s="4" t="s">
        <v>237</v>
      </c>
      <c r="B235" s="6"/>
      <c r="C235" s="6"/>
      <c r="D235" s="8"/>
    </row>
    <row r="236" spans="1:8" ht="24" customHeight="1" x14ac:dyDescent="0.25">
      <c r="A236" s="3" t="s">
        <v>259</v>
      </c>
      <c r="B236" s="5"/>
      <c r="C236" s="5"/>
      <c r="D236" s="7"/>
    </row>
    <row r="237" spans="1:8" ht="24" customHeight="1" thickBot="1" x14ac:dyDescent="0.3">
      <c r="A237" s="2" t="s">
        <v>349</v>
      </c>
      <c r="B237" s="6"/>
      <c r="C237" s="6"/>
      <c r="D237" s="8"/>
    </row>
    <row r="238" spans="1:8" ht="24" customHeight="1" x14ac:dyDescent="0.25">
      <c r="A238" s="3" t="s">
        <v>235</v>
      </c>
      <c r="B238" s="5"/>
      <c r="C238" s="5"/>
      <c r="D238" s="7"/>
    </row>
    <row r="239" spans="1:8" ht="24" customHeight="1" thickBot="1" x14ac:dyDescent="0.3">
      <c r="A239" s="2" t="s">
        <v>236</v>
      </c>
      <c r="B239" s="65"/>
      <c r="C239" s="65"/>
      <c r="D239" s="67"/>
    </row>
    <row r="240" spans="1:8" ht="24" customHeight="1" thickBot="1" x14ac:dyDescent="0.3"/>
    <row r="241" spans="1:7" ht="24" customHeight="1" thickBot="1" x14ac:dyDescent="0.3">
      <c r="A241" s="341" t="s">
        <v>32</v>
      </c>
      <c r="B241" s="342"/>
      <c r="C241" s="342"/>
      <c r="D241" s="342"/>
      <c r="E241" s="342"/>
      <c r="F241" s="343"/>
      <c r="G241" s="22"/>
    </row>
    <row r="242" spans="1:7" ht="48" thickBot="1" x14ac:dyDescent="0.3">
      <c r="A242" s="12" t="s">
        <v>3</v>
      </c>
      <c r="B242" s="15" t="s">
        <v>345</v>
      </c>
      <c r="C242" s="15" t="s">
        <v>346</v>
      </c>
      <c r="D242" s="150" t="s">
        <v>347</v>
      </c>
      <c r="E242" s="13" t="s">
        <v>223</v>
      </c>
      <c r="F242" s="14" t="s">
        <v>12</v>
      </c>
    </row>
    <row r="243" spans="1:7" ht="24" customHeight="1" x14ac:dyDescent="0.25">
      <c r="A243" s="3" t="s">
        <v>234</v>
      </c>
      <c r="B243" s="5">
        <f t="shared" ref="B243:B248" si="57">D183</f>
        <v>0</v>
      </c>
      <c r="C243" s="5">
        <f t="shared" ref="C243:C248" si="58">D212</f>
        <v>471.96069999999997</v>
      </c>
      <c r="D243" s="5">
        <f t="shared" ref="D243:D248" si="59">D223</f>
        <v>83.88</v>
      </c>
      <c r="E243" s="5">
        <f>D234</f>
        <v>0</v>
      </c>
      <c r="F243" s="7">
        <f>SUM(B243:E243)</f>
        <v>555.84069999999997</v>
      </c>
    </row>
    <row r="244" spans="1:7" ht="24" customHeight="1" thickBot="1" x14ac:dyDescent="0.3">
      <c r="A244" s="4" t="s">
        <v>237</v>
      </c>
      <c r="B244" s="6">
        <f t="shared" si="57"/>
        <v>0</v>
      </c>
      <c r="C244" s="6">
        <f t="shared" si="58"/>
        <v>471.96069999999997</v>
      </c>
      <c r="D244" s="6">
        <f t="shared" si="59"/>
        <v>83.88</v>
      </c>
      <c r="E244" s="6">
        <f>D235</f>
        <v>0</v>
      </c>
      <c r="F244" s="8">
        <f t="shared" ref="F244:F248" si="60">SUM(B244:E244)</f>
        <v>555.84069999999997</v>
      </c>
    </row>
    <row r="245" spans="1:7" ht="24" customHeight="1" x14ac:dyDescent="0.25">
      <c r="A245" s="3" t="s">
        <v>259</v>
      </c>
      <c r="B245" s="5">
        <f t="shared" si="57"/>
        <v>0</v>
      </c>
      <c r="C245" s="5">
        <f t="shared" si="58"/>
        <v>0</v>
      </c>
      <c r="D245" s="5">
        <f t="shared" si="59"/>
        <v>0</v>
      </c>
      <c r="E245" s="5">
        <f>D238</f>
        <v>0</v>
      </c>
      <c r="F245" s="7">
        <f>SUM(B245:E245)</f>
        <v>0</v>
      </c>
    </row>
    <row r="246" spans="1:7" ht="24" customHeight="1" thickBot="1" x14ac:dyDescent="0.3">
      <c r="A246" s="2" t="s">
        <v>349</v>
      </c>
      <c r="B246" s="6">
        <f t="shared" si="57"/>
        <v>0</v>
      </c>
      <c r="C246" s="6">
        <f t="shared" si="58"/>
        <v>0</v>
      </c>
      <c r="D246" s="6">
        <f t="shared" si="59"/>
        <v>0</v>
      </c>
      <c r="E246" s="6">
        <f>D239</f>
        <v>0</v>
      </c>
      <c r="F246" s="8">
        <f t="shared" ref="F246" si="61">SUM(B246:E246)</f>
        <v>0</v>
      </c>
    </row>
    <row r="247" spans="1:7" ht="24" customHeight="1" x14ac:dyDescent="0.25">
      <c r="A247" s="3" t="s">
        <v>235</v>
      </c>
      <c r="B247" s="5">
        <f t="shared" si="57"/>
        <v>0</v>
      </c>
      <c r="C247" s="5">
        <f t="shared" si="58"/>
        <v>471.96069999999997</v>
      </c>
      <c r="D247" s="5">
        <f t="shared" si="59"/>
        <v>83.88</v>
      </c>
      <c r="E247" s="5">
        <f>D238</f>
        <v>0</v>
      </c>
      <c r="F247" s="7">
        <f t="shared" si="60"/>
        <v>555.84069999999997</v>
      </c>
    </row>
    <row r="248" spans="1:7" ht="24" customHeight="1" thickBot="1" x14ac:dyDescent="0.3">
      <c r="A248" s="2" t="s">
        <v>236</v>
      </c>
      <c r="B248" s="65">
        <f t="shared" si="57"/>
        <v>0</v>
      </c>
      <c r="C248" s="65">
        <f t="shared" si="58"/>
        <v>471.96069999999997</v>
      </c>
      <c r="D248" s="65">
        <f t="shared" si="59"/>
        <v>83.88</v>
      </c>
      <c r="E248" s="65">
        <f>D239</f>
        <v>0</v>
      </c>
      <c r="F248" s="67">
        <f t="shared" si="60"/>
        <v>555.84069999999997</v>
      </c>
    </row>
    <row r="250" spans="1:7" ht="24" customHeight="1" x14ac:dyDescent="0.25">
      <c r="A250" s="347" t="s">
        <v>127</v>
      </c>
      <c r="B250" s="347"/>
      <c r="C250" s="347"/>
      <c r="D250" s="347"/>
      <c r="E250" s="347"/>
    </row>
    <row r="251" spans="1:7" ht="24" customHeight="1" thickBot="1" x14ac:dyDescent="0.3"/>
    <row r="252" spans="1:7" ht="24" customHeight="1" thickBot="1" x14ac:dyDescent="0.3">
      <c r="A252" s="341" t="s">
        <v>127</v>
      </c>
      <c r="B252" s="342"/>
      <c r="C252" s="342"/>
      <c r="D252" s="342"/>
      <c r="E252" s="343"/>
    </row>
    <row r="253" spans="1:7" ht="24" customHeight="1" thickBot="1" x14ac:dyDescent="0.3">
      <c r="A253" s="12" t="s">
        <v>3</v>
      </c>
      <c r="B253" s="13" t="s">
        <v>56</v>
      </c>
      <c r="C253" s="13" t="s">
        <v>57</v>
      </c>
      <c r="D253" s="13" t="s">
        <v>58</v>
      </c>
      <c r="E253" s="14" t="s">
        <v>12</v>
      </c>
    </row>
    <row r="254" spans="1:7" ht="24" customHeight="1" x14ac:dyDescent="0.25">
      <c r="A254" s="3" t="s">
        <v>234</v>
      </c>
      <c r="B254" s="5">
        <f t="shared" ref="B254:B259" si="62">E110</f>
        <v>444.27577638888886</v>
      </c>
      <c r="C254" s="5">
        <f t="shared" ref="C254:C259" si="63">D152</f>
        <v>1086.1908053027778</v>
      </c>
      <c r="D254" s="5">
        <f t="shared" ref="D254:D259" si="64">F243</f>
        <v>555.84069999999997</v>
      </c>
      <c r="E254" s="7">
        <f t="shared" ref="E254:E259" si="65">SUM(B254:D254)</f>
        <v>2086.3072816916665</v>
      </c>
    </row>
    <row r="255" spans="1:7" ht="24" customHeight="1" thickBot="1" x14ac:dyDescent="0.3">
      <c r="A255" s="73" t="s">
        <v>237</v>
      </c>
      <c r="B255" s="74">
        <f t="shared" si="62"/>
        <v>518.32173912037035</v>
      </c>
      <c r="C255" s="74">
        <f t="shared" si="63"/>
        <v>1267.2226061865742</v>
      </c>
      <c r="D255" s="74">
        <f t="shared" si="64"/>
        <v>555.84069999999997</v>
      </c>
      <c r="E255" s="78">
        <f t="shared" si="65"/>
        <v>2341.3850453069444</v>
      </c>
    </row>
    <row r="256" spans="1:7" ht="24" customHeight="1" x14ac:dyDescent="0.25">
      <c r="A256" s="3" t="s">
        <v>259</v>
      </c>
      <c r="B256" s="5">
        <f t="shared" si="62"/>
        <v>0</v>
      </c>
      <c r="C256" s="5">
        <f t="shared" si="63"/>
        <v>0</v>
      </c>
      <c r="D256" s="5">
        <f t="shared" si="64"/>
        <v>0</v>
      </c>
      <c r="E256" s="7">
        <f t="shared" ref="E256:E257" si="66">SUM(B256:D256)</f>
        <v>0</v>
      </c>
    </row>
    <row r="257" spans="1:8" ht="24" customHeight="1" thickBot="1" x14ac:dyDescent="0.3">
      <c r="A257" s="2" t="s">
        <v>349</v>
      </c>
      <c r="B257" s="74">
        <f t="shared" si="62"/>
        <v>0</v>
      </c>
      <c r="C257" s="74">
        <f t="shared" si="63"/>
        <v>0</v>
      </c>
      <c r="D257" s="74">
        <f t="shared" si="64"/>
        <v>0</v>
      </c>
      <c r="E257" s="78">
        <f t="shared" si="66"/>
        <v>0</v>
      </c>
    </row>
    <row r="258" spans="1:8" ht="24" customHeight="1" x14ac:dyDescent="0.25">
      <c r="A258" s="3" t="s">
        <v>235</v>
      </c>
      <c r="B258" s="5">
        <f t="shared" si="62"/>
        <v>484.73414305555553</v>
      </c>
      <c r="C258" s="5">
        <f t="shared" si="63"/>
        <v>1185.1057320361115</v>
      </c>
      <c r="D258" s="5">
        <f t="shared" si="64"/>
        <v>555.84069999999997</v>
      </c>
      <c r="E258" s="7">
        <f t="shared" si="65"/>
        <v>2225.6805750916669</v>
      </c>
    </row>
    <row r="259" spans="1:8" ht="24" customHeight="1" thickBot="1" x14ac:dyDescent="0.3">
      <c r="A259" s="2" t="s">
        <v>236</v>
      </c>
      <c r="B259" s="65">
        <f t="shared" si="62"/>
        <v>558.78010578703709</v>
      </c>
      <c r="C259" s="65">
        <f t="shared" si="63"/>
        <v>1366.1375329199077</v>
      </c>
      <c r="D259" s="65">
        <f t="shared" si="64"/>
        <v>555.84069999999997</v>
      </c>
      <c r="E259" s="67">
        <f t="shared" si="65"/>
        <v>2480.7583387069444</v>
      </c>
    </row>
    <row r="261" spans="1:8" ht="24" customHeight="1" x14ac:dyDescent="0.25">
      <c r="A261" s="347" t="s">
        <v>47</v>
      </c>
      <c r="B261" s="347"/>
      <c r="C261" s="347"/>
      <c r="D261" s="347"/>
      <c r="E261" s="347"/>
      <c r="F261" s="347"/>
      <c r="G261" s="347"/>
      <c r="H261" s="347"/>
    </row>
    <row r="262" spans="1:8" ht="24" customHeight="1" thickBot="1" x14ac:dyDescent="0.3"/>
    <row r="263" spans="1:8" ht="34.15" customHeight="1" thickBot="1" x14ac:dyDescent="0.3">
      <c r="A263" s="379" t="s">
        <v>48</v>
      </c>
      <c r="B263" s="380"/>
    </row>
    <row r="264" spans="1:8" ht="24" customHeight="1" thickBot="1" x14ac:dyDescent="0.3">
      <c r="A264" s="34" t="s">
        <v>49</v>
      </c>
      <c r="B264" s="36" t="s">
        <v>2</v>
      </c>
    </row>
    <row r="265" spans="1:8" ht="29.25" customHeight="1" x14ac:dyDescent="0.25">
      <c r="A265" s="26" t="s">
        <v>50</v>
      </c>
      <c r="B265" s="60"/>
    </row>
    <row r="266" spans="1:8" ht="30" customHeight="1" x14ac:dyDescent="0.25">
      <c r="A266" s="93" t="s">
        <v>51</v>
      </c>
      <c r="B266" s="94">
        <v>4.1999999999999997E-3</v>
      </c>
    </row>
    <row r="267" spans="1:8" ht="27.75" customHeight="1" x14ac:dyDescent="0.25">
      <c r="A267" s="93" t="s">
        <v>52</v>
      </c>
      <c r="B267" s="94">
        <v>1.9400000000000001E-2</v>
      </c>
    </row>
    <row r="268" spans="1:8" ht="29.25" customHeight="1" x14ac:dyDescent="0.25">
      <c r="A268" s="23" t="s">
        <v>53</v>
      </c>
      <c r="B268" s="61">
        <v>0</v>
      </c>
    </row>
    <row r="269" spans="1:8" ht="29.25" customHeight="1" thickBot="1" x14ac:dyDescent="0.3">
      <c r="A269" s="24" t="s">
        <v>54</v>
      </c>
      <c r="B269" s="62">
        <v>0</v>
      </c>
    </row>
    <row r="270" spans="1:8" ht="24" customHeight="1" thickBot="1" x14ac:dyDescent="0.3">
      <c r="A270" s="34" t="s">
        <v>28</v>
      </c>
      <c r="B270" s="25">
        <f>SUM(B266:B269)</f>
        <v>2.3599999999999999E-2</v>
      </c>
      <c r="H270" s="90"/>
    </row>
    <row r="272" spans="1:8" ht="24" customHeight="1" x14ac:dyDescent="0.25">
      <c r="A272" s="352" t="s">
        <v>55</v>
      </c>
      <c r="B272" s="353"/>
      <c r="C272" s="353"/>
      <c r="D272" s="353"/>
      <c r="E272" s="353"/>
      <c r="F272" s="353"/>
      <c r="G272" s="353"/>
      <c r="H272" s="353"/>
    </row>
    <row r="273" spans="1:41" ht="24" customHeight="1" thickBot="1" x14ac:dyDescent="0.3"/>
    <row r="274" spans="1:41" customFormat="1" ht="24" customHeight="1" thickBot="1" x14ac:dyDescent="0.3">
      <c r="A274" s="365" t="s">
        <v>242</v>
      </c>
      <c r="B274" s="366"/>
      <c r="C274" s="366"/>
      <c r="D274" s="367"/>
      <c r="E274" s="90"/>
      <c r="F274" s="90"/>
      <c r="G274" s="90"/>
      <c r="H274" s="90"/>
      <c r="I274" s="90"/>
      <c r="J274" s="90"/>
      <c r="K274" s="90"/>
      <c r="L274" s="90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</row>
    <row r="275" spans="1:41" customFormat="1" ht="24" customHeight="1" thickBot="1" x14ac:dyDescent="0.3">
      <c r="A275" s="171" t="s">
        <v>3</v>
      </c>
      <c r="B275" s="172" t="s">
        <v>1</v>
      </c>
      <c r="C275" s="173" t="s">
        <v>243</v>
      </c>
      <c r="D275" s="174" t="s">
        <v>12</v>
      </c>
      <c r="E275" s="90"/>
      <c r="F275" s="90"/>
      <c r="G275" s="90"/>
      <c r="H275" s="90"/>
      <c r="I275" s="90"/>
      <c r="J275" s="90"/>
      <c r="K275" s="90"/>
      <c r="L275" s="90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</row>
    <row r="276" spans="1:41" customFormat="1" ht="24" customHeight="1" x14ac:dyDescent="0.25">
      <c r="A276" s="3" t="s">
        <v>234</v>
      </c>
      <c r="B276" s="5">
        <f t="shared" ref="B276:B281" si="67">H70+B254</f>
        <v>2729.1226263888889</v>
      </c>
      <c r="C276" s="5">
        <f t="shared" ref="C276:C281" si="68">D143</f>
        <v>218.3298101111111</v>
      </c>
      <c r="D276" s="7">
        <f>(B276+C276)</f>
        <v>2947.4524364999997</v>
      </c>
      <c r="E276" s="175"/>
      <c r="F276" s="175"/>
      <c r="G276" s="175"/>
      <c r="H276" s="175"/>
      <c r="I276" s="175"/>
      <c r="J276" s="175"/>
      <c r="K276" s="175"/>
      <c r="L276" s="175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</row>
    <row r="277" spans="1:41" customFormat="1" ht="24" customHeight="1" thickBot="1" x14ac:dyDescent="0.3">
      <c r="A277" s="2" t="s">
        <v>237</v>
      </c>
      <c r="B277" s="65">
        <f t="shared" si="67"/>
        <v>3183.9763974537036</v>
      </c>
      <c r="C277" s="65">
        <f t="shared" si="68"/>
        <v>254.71811179629628</v>
      </c>
      <c r="D277" s="67">
        <f t="shared" ref="D277:D281" si="69">(B277+C277)</f>
        <v>3438.69450925</v>
      </c>
      <c r="E277" s="175"/>
      <c r="F277" s="175"/>
      <c r="G277" s="175"/>
      <c r="H277" s="175"/>
      <c r="I277" s="175"/>
      <c r="J277" s="175"/>
      <c r="K277" s="175"/>
      <c r="L277" s="175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</row>
    <row r="278" spans="1:41" customFormat="1" ht="24" customHeight="1" x14ac:dyDescent="0.25">
      <c r="A278" s="3" t="s">
        <v>259</v>
      </c>
      <c r="B278" s="5">
        <f t="shared" si="67"/>
        <v>0</v>
      </c>
      <c r="C278" s="5">
        <f t="shared" si="68"/>
        <v>0</v>
      </c>
      <c r="D278" s="7">
        <f>(B278+C278)</f>
        <v>0</v>
      </c>
      <c r="E278" s="175"/>
      <c r="F278" s="175"/>
      <c r="G278" s="175"/>
      <c r="H278" s="175"/>
      <c r="I278" s="175"/>
      <c r="J278" s="175"/>
      <c r="K278" s="175"/>
      <c r="L278" s="175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</row>
    <row r="279" spans="1:41" customFormat="1" ht="24" customHeight="1" thickBot="1" x14ac:dyDescent="0.3">
      <c r="A279" s="2" t="s">
        <v>349</v>
      </c>
      <c r="B279" s="65">
        <f t="shared" si="67"/>
        <v>0</v>
      </c>
      <c r="C279" s="65">
        <f t="shared" si="68"/>
        <v>0</v>
      </c>
      <c r="D279" s="67">
        <f t="shared" ref="D279" si="70">(B279+C279)</f>
        <v>0</v>
      </c>
      <c r="E279" s="175"/>
      <c r="F279" s="175"/>
      <c r="G279" s="175"/>
      <c r="H279" s="175"/>
      <c r="I279" s="175"/>
      <c r="J279" s="175"/>
      <c r="K279" s="175"/>
      <c r="L279" s="175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</row>
    <row r="280" spans="1:41" customFormat="1" ht="24" customHeight="1" x14ac:dyDescent="0.25">
      <c r="A280" s="3" t="s">
        <v>235</v>
      </c>
      <c r="B280" s="5">
        <f t="shared" si="67"/>
        <v>2977.6525930555558</v>
      </c>
      <c r="C280" s="5">
        <f t="shared" si="68"/>
        <v>238.21220744444446</v>
      </c>
      <c r="D280" s="7">
        <f t="shared" si="69"/>
        <v>3215.8648005000005</v>
      </c>
      <c r="E280" s="175"/>
      <c r="F280" s="175"/>
      <c r="G280" s="175"/>
      <c r="H280" s="175"/>
      <c r="I280" s="175"/>
      <c r="J280" s="175"/>
      <c r="K280" s="175"/>
      <c r="L280" s="175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</row>
    <row r="281" spans="1:41" customFormat="1" ht="24" customHeight="1" thickBot="1" x14ac:dyDescent="0.3">
      <c r="A281" s="2" t="s">
        <v>236</v>
      </c>
      <c r="B281" s="65">
        <f t="shared" si="67"/>
        <v>3432.5063641203706</v>
      </c>
      <c r="C281" s="65">
        <f t="shared" si="68"/>
        <v>274.60050912962964</v>
      </c>
      <c r="D281" s="67">
        <f t="shared" si="69"/>
        <v>3707.1068732500003</v>
      </c>
      <c r="E281" s="175"/>
      <c r="F281" s="175"/>
      <c r="G281" s="175"/>
      <c r="H281" s="175"/>
      <c r="I281" s="175"/>
      <c r="J281" s="175"/>
      <c r="K281" s="175"/>
      <c r="L281" s="175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</row>
    <row r="282" spans="1:41" ht="24" customHeight="1" thickBot="1" x14ac:dyDescent="0.3"/>
    <row r="283" spans="1:41" ht="24" customHeight="1" thickBot="1" x14ac:dyDescent="0.3">
      <c r="A283" s="344" t="s">
        <v>59</v>
      </c>
      <c r="B283" s="345"/>
      <c r="C283" s="345"/>
      <c r="D283" s="346"/>
      <c r="E283" s="28"/>
    </row>
    <row r="284" spans="1:41" ht="32.25" thickBot="1" x14ac:dyDescent="0.3">
      <c r="A284" s="12" t="s">
        <v>3</v>
      </c>
      <c r="B284" s="13" t="s">
        <v>1</v>
      </c>
      <c r="C284" s="27" t="s">
        <v>60</v>
      </c>
      <c r="D284" s="14" t="s">
        <v>4</v>
      </c>
    </row>
    <row r="285" spans="1:41" ht="24" customHeight="1" x14ac:dyDescent="0.25">
      <c r="A285" s="3" t="s">
        <v>234</v>
      </c>
      <c r="B285" s="5">
        <f t="shared" ref="B285:B290" si="71">D143</f>
        <v>218.3298101111111</v>
      </c>
      <c r="C285" s="151">
        <v>0.4</v>
      </c>
      <c r="D285" s="7">
        <f>B285*C285</f>
        <v>87.331924044444449</v>
      </c>
    </row>
    <row r="286" spans="1:41" ht="24" customHeight="1" thickBot="1" x14ac:dyDescent="0.3">
      <c r="A286" s="2" t="s">
        <v>237</v>
      </c>
      <c r="B286" s="65">
        <f t="shared" si="71"/>
        <v>254.71811179629628</v>
      </c>
      <c r="C286" s="72">
        <f>C285</f>
        <v>0.4</v>
      </c>
      <c r="D286" s="67">
        <f t="shared" ref="D286:D290" si="72">B286*C286</f>
        <v>101.88724471851852</v>
      </c>
    </row>
    <row r="287" spans="1:41" ht="24" customHeight="1" x14ac:dyDescent="0.25">
      <c r="A287" s="3" t="s">
        <v>259</v>
      </c>
      <c r="B287" s="5">
        <f t="shared" si="71"/>
        <v>0</v>
      </c>
      <c r="C287" s="151">
        <v>0.4</v>
      </c>
      <c r="D287" s="7">
        <f>B287*C287</f>
        <v>0</v>
      </c>
    </row>
    <row r="288" spans="1:41" ht="24" customHeight="1" thickBot="1" x14ac:dyDescent="0.3">
      <c r="A288" s="2" t="s">
        <v>349</v>
      </c>
      <c r="B288" s="65">
        <f t="shared" si="71"/>
        <v>0</v>
      </c>
      <c r="C288" s="72">
        <f>C287</f>
        <v>0.4</v>
      </c>
      <c r="D288" s="67">
        <f t="shared" ref="D288" si="73">B288*C288</f>
        <v>0</v>
      </c>
    </row>
    <row r="289" spans="1:41" ht="24" customHeight="1" x14ac:dyDescent="0.25">
      <c r="A289" s="3" t="s">
        <v>235</v>
      </c>
      <c r="B289" s="5">
        <f t="shared" si="71"/>
        <v>238.21220744444446</v>
      </c>
      <c r="C289" s="70">
        <v>0.4</v>
      </c>
      <c r="D289" s="7">
        <f t="shared" si="72"/>
        <v>95.284882977777784</v>
      </c>
    </row>
    <row r="290" spans="1:41" ht="24" customHeight="1" thickBot="1" x14ac:dyDescent="0.3">
      <c r="A290" s="2" t="s">
        <v>236</v>
      </c>
      <c r="B290" s="65">
        <f t="shared" si="71"/>
        <v>274.60050912962964</v>
      </c>
      <c r="C290" s="72">
        <v>0.4</v>
      </c>
      <c r="D290" s="67">
        <f t="shared" si="72"/>
        <v>109.84020365185187</v>
      </c>
    </row>
    <row r="292" spans="1:41" customFormat="1" ht="24" customHeight="1" thickBot="1" x14ac:dyDescent="0.3">
      <c r="A292" s="376" t="s">
        <v>61</v>
      </c>
      <c r="B292" s="377"/>
      <c r="C292" s="377"/>
      <c r="D292" s="377"/>
      <c r="E292" s="377"/>
      <c r="F292" s="377"/>
      <c r="G292" s="90"/>
      <c r="H292" s="90"/>
      <c r="I292" s="90"/>
      <c r="J292" s="90"/>
      <c r="K292" s="90"/>
      <c r="L292" s="90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</row>
    <row r="293" spans="1:41" customFormat="1" ht="27.75" customHeight="1" thickBot="1" x14ac:dyDescent="0.3">
      <c r="A293" s="177" t="s">
        <v>3</v>
      </c>
      <c r="B293" s="178" t="s">
        <v>244</v>
      </c>
      <c r="C293" s="179" t="s">
        <v>243</v>
      </c>
      <c r="D293" s="179" t="s">
        <v>245</v>
      </c>
      <c r="E293" s="178" t="s">
        <v>246</v>
      </c>
      <c r="F293" s="174" t="s">
        <v>4</v>
      </c>
      <c r="G293" s="29"/>
      <c r="H293" s="90"/>
      <c r="I293" s="90"/>
      <c r="J293" s="90"/>
      <c r="K293" s="90"/>
      <c r="L293" s="90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</row>
    <row r="294" spans="1:41" customFormat="1" ht="24" customHeight="1" x14ac:dyDescent="0.25">
      <c r="A294" s="3" t="s">
        <v>234</v>
      </c>
      <c r="B294" s="5">
        <f t="shared" ref="B294:C297" si="74">B276</f>
        <v>2729.1226263888889</v>
      </c>
      <c r="C294" s="5">
        <f t="shared" si="74"/>
        <v>218.3298101111111</v>
      </c>
      <c r="D294" s="5">
        <f t="shared" ref="D294:D299" si="75">D285</f>
        <v>87.331924044444449</v>
      </c>
      <c r="E294" s="81">
        <f>B266</f>
        <v>4.1999999999999997E-3</v>
      </c>
      <c r="F294" s="7">
        <f t="shared" ref="F294" si="76">(B294+C294+D294)*E294</f>
        <v>12.746094314286664</v>
      </c>
      <c r="G294" s="29"/>
      <c r="H294" s="175"/>
      <c r="I294" s="175"/>
      <c r="J294" s="175"/>
      <c r="K294" s="175"/>
      <c r="L294" s="175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</row>
    <row r="295" spans="1:41" customFormat="1" ht="24" customHeight="1" thickBot="1" x14ac:dyDescent="0.3">
      <c r="A295" s="73" t="s">
        <v>237</v>
      </c>
      <c r="B295" s="74">
        <f t="shared" si="74"/>
        <v>3183.9763974537036</v>
      </c>
      <c r="C295" s="74">
        <f t="shared" si="74"/>
        <v>254.71811179629628</v>
      </c>
      <c r="D295" s="74">
        <f t="shared" si="75"/>
        <v>101.88724471851852</v>
      </c>
      <c r="E295" s="240">
        <f>B266</f>
        <v>4.1999999999999997E-3</v>
      </c>
      <c r="F295" s="78">
        <f t="shared" ref="F295:F296" si="77">(B295+C295+D295)*E295</f>
        <v>14.870443366667777</v>
      </c>
      <c r="G295" s="29"/>
      <c r="H295" s="175"/>
      <c r="I295" s="175"/>
      <c r="J295" s="175"/>
      <c r="K295" s="175"/>
      <c r="L295" s="175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</row>
    <row r="296" spans="1:41" customFormat="1" ht="24" customHeight="1" x14ac:dyDescent="0.25">
      <c r="A296" s="3" t="s">
        <v>259</v>
      </c>
      <c r="B296" s="5">
        <f t="shared" si="74"/>
        <v>0</v>
      </c>
      <c r="C296" s="5">
        <f t="shared" si="74"/>
        <v>0</v>
      </c>
      <c r="D296" s="5">
        <f t="shared" si="75"/>
        <v>0</v>
      </c>
      <c r="E296" s="81">
        <f>B266</f>
        <v>4.1999999999999997E-3</v>
      </c>
      <c r="F296" s="7">
        <f t="shared" si="77"/>
        <v>0</v>
      </c>
      <c r="G296" s="29"/>
      <c r="H296" s="175"/>
      <c r="I296" s="175"/>
      <c r="J296" s="175"/>
      <c r="K296" s="175"/>
      <c r="L296" s="175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</row>
    <row r="297" spans="1:41" customFormat="1" ht="24" customHeight="1" thickBot="1" x14ac:dyDescent="0.3">
      <c r="A297" s="2" t="s">
        <v>349</v>
      </c>
      <c r="B297" s="65">
        <f t="shared" si="74"/>
        <v>0</v>
      </c>
      <c r="C297" s="65">
        <f t="shared" si="74"/>
        <v>0</v>
      </c>
      <c r="D297" s="65">
        <f t="shared" si="75"/>
        <v>0</v>
      </c>
      <c r="E297" s="80">
        <f>B266</f>
        <v>4.1999999999999997E-3</v>
      </c>
      <c r="F297" s="67">
        <f t="shared" ref="F297" si="78">(B297+C297+D297)*E297</f>
        <v>0</v>
      </c>
      <c r="G297" s="29"/>
      <c r="H297" s="175"/>
      <c r="I297" s="175"/>
      <c r="J297" s="175"/>
      <c r="K297" s="175"/>
      <c r="L297" s="175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</row>
    <row r="298" spans="1:41" customFormat="1" ht="24" customHeight="1" x14ac:dyDescent="0.25">
      <c r="A298" s="1" t="s">
        <v>235</v>
      </c>
      <c r="B298" s="10">
        <f t="shared" ref="B298:C298" si="79">B280</f>
        <v>2977.6525930555558</v>
      </c>
      <c r="C298" s="10">
        <f t="shared" si="79"/>
        <v>238.21220744444446</v>
      </c>
      <c r="D298" s="10">
        <f t="shared" si="75"/>
        <v>95.284882977777784</v>
      </c>
      <c r="E298" s="188">
        <f>B266</f>
        <v>4.1999999999999997E-3</v>
      </c>
      <c r="F298" s="9">
        <f t="shared" ref="F298:F299" si="80">(B298+C298+D298)*E298</f>
        <v>13.906828670606668</v>
      </c>
      <c r="G298" s="29"/>
      <c r="H298" s="175"/>
      <c r="I298" s="175"/>
      <c r="J298" s="175"/>
      <c r="K298" s="175"/>
      <c r="L298" s="175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</row>
    <row r="299" spans="1:41" customFormat="1" ht="24" customHeight="1" thickBot="1" x14ac:dyDescent="0.3">
      <c r="A299" s="2" t="s">
        <v>236</v>
      </c>
      <c r="B299" s="65">
        <f t="shared" ref="B299:C299" si="81">B281</f>
        <v>3432.5063641203706</v>
      </c>
      <c r="C299" s="65">
        <f t="shared" si="81"/>
        <v>274.60050912962964</v>
      </c>
      <c r="D299" s="65">
        <f t="shared" si="75"/>
        <v>109.84020365185187</v>
      </c>
      <c r="E299" s="80">
        <f>B266</f>
        <v>4.1999999999999997E-3</v>
      </c>
      <c r="F299" s="67">
        <f t="shared" si="80"/>
        <v>16.031177722987778</v>
      </c>
      <c r="G299" s="29"/>
      <c r="H299" s="175"/>
      <c r="I299" s="175"/>
      <c r="J299" s="175"/>
      <c r="K299" s="175"/>
      <c r="L299" s="175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</row>
    <row r="300" spans="1:41" customFormat="1" ht="24" customHeight="1" x14ac:dyDescent="0.25">
      <c r="A300" s="52"/>
      <c r="B300" s="176"/>
      <c r="C300" s="176"/>
      <c r="D300" s="176"/>
      <c r="E300" s="180"/>
      <c r="F300" s="175"/>
      <c r="G300" s="29"/>
      <c r="H300" s="175"/>
      <c r="I300" s="175"/>
      <c r="J300" s="175"/>
      <c r="K300" s="175"/>
      <c r="L300" s="175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I300" s="29"/>
      <c r="AJ300" s="29"/>
      <c r="AK300" s="29"/>
      <c r="AL300" s="29"/>
      <c r="AM300" s="29"/>
      <c r="AN300" s="29"/>
      <c r="AO300" s="29"/>
    </row>
    <row r="301" spans="1:41" ht="24" customHeight="1" x14ac:dyDescent="0.25">
      <c r="A301" s="352" t="s">
        <v>62</v>
      </c>
      <c r="B301" s="353"/>
      <c r="C301" s="353"/>
      <c r="D301" s="353"/>
      <c r="E301" s="353"/>
      <c r="F301" s="353"/>
      <c r="G301" s="353"/>
      <c r="H301" s="353"/>
    </row>
    <row r="302" spans="1:41" customFormat="1" ht="24" customHeight="1" thickBot="1" x14ac:dyDescent="0.3">
      <c r="A302" s="52"/>
      <c r="B302" s="176"/>
      <c r="C302" s="176"/>
      <c r="D302" s="176"/>
      <c r="E302" s="180"/>
      <c r="F302" s="175"/>
      <c r="G302" s="29"/>
      <c r="H302" s="175"/>
      <c r="I302" s="175"/>
      <c r="J302" s="175"/>
      <c r="K302" s="175"/>
      <c r="L302" s="175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  <c r="AL302" s="29"/>
      <c r="AM302" s="29"/>
      <c r="AN302" s="29"/>
      <c r="AO302" s="29"/>
    </row>
    <row r="303" spans="1:41" customFormat="1" ht="24" customHeight="1" thickBot="1" x14ac:dyDescent="0.3">
      <c r="A303" s="365" t="s">
        <v>247</v>
      </c>
      <c r="B303" s="366"/>
      <c r="C303" s="366"/>
      <c r="D303" s="367"/>
      <c r="E303" s="90"/>
      <c r="F303" s="90"/>
      <c r="G303" s="90"/>
      <c r="H303" s="90"/>
      <c r="I303" s="90"/>
      <c r="J303" s="90"/>
      <c r="K303" s="90"/>
      <c r="L303" s="90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</row>
    <row r="304" spans="1:41" customFormat="1" ht="48" thickBot="1" x14ac:dyDescent="0.3">
      <c r="A304" s="177" t="s">
        <v>3</v>
      </c>
      <c r="B304" s="179" t="s">
        <v>1</v>
      </c>
      <c r="C304" s="181" t="s">
        <v>248</v>
      </c>
      <c r="D304" s="182" t="s">
        <v>4</v>
      </c>
      <c r="E304" s="90"/>
      <c r="F304" s="90"/>
      <c r="G304" s="90"/>
      <c r="H304" s="90"/>
      <c r="I304" s="90"/>
      <c r="J304" s="90"/>
      <c r="K304" s="90"/>
      <c r="L304" s="90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</row>
    <row r="305" spans="1:41" customFormat="1" ht="24" customHeight="1" x14ac:dyDescent="0.25">
      <c r="A305" s="3" t="s">
        <v>234</v>
      </c>
      <c r="B305" s="5">
        <f t="shared" ref="B305:B310" si="82">H70+B254+D254</f>
        <v>3284.9633263888891</v>
      </c>
      <c r="C305" s="5">
        <f t="shared" ref="C305:C310" si="83">C254</f>
        <v>1086.1908053027778</v>
      </c>
      <c r="D305" s="7">
        <f t="shared" ref="D305" si="84">B305+C305</f>
        <v>4371.1541316916664</v>
      </c>
      <c r="E305" s="175"/>
      <c r="F305" s="175"/>
      <c r="G305" s="175"/>
      <c r="H305" s="175"/>
      <c r="I305" s="175"/>
      <c r="J305" s="175"/>
      <c r="K305" s="175"/>
      <c r="L305" s="175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29"/>
      <c r="AG305" s="29"/>
      <c r="AH305" s="29"/>
      <c r="AI305" s="29"/>
      <c r="AJ305" s="29"/>
      <c r="AK305" s="29"/>
      <c r="AL305" s="29"/>
      <c r="AM305" s="29"/>
      <c r="AN305" s="29"/>
      <c r="AO305" s="29"/>
    </row>
    <row r="306" spans="1:41" customFormat="1" ht="24" customHeight="1" thickBot="1" x14ac:dyDescent="0.3">
      <c r="A306" s="2" t="s">
        <v>237</v>
      </c>
      <c r="B306" s="65">
        <f t="shared" si="82"/>
        <v>3739.8170974537034</v>
      </c>
      <c r="C306" s="65">
        <f t="shared" si="83"/>
        <v>1267.2226061865742</v>
      </c>
      <c r="D306" s="67">
        <f t="shared" ref="D306:D310" si="85">B306+C306</f>
        <v>5007.0397036402774</v>
      </c>
      <c r="E306" s="175"/>
      <c r="F306" s="175"/>
      <c r="G306" s="175"/>
      <c r="H306" s="175"/>
      <c r="I306" s="175"/>
      <c r="J306" s="175"/>
      <c r="K306" s="175"/>
      <c r="L306" s="175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29"/>
      <c r="AG306" s="29"/>
      <c r="AH306" s="29"/>
      <c r="AI306" s="29"/>
      <c r="AJ306" s="29"/>
      <c r="AK306" s="29"/>
      <c r="AL306" s="29"/>
      <c r="AM306" s="29"/>
      <c r="AN306" s="29"/>
      <c r="AO306" s="29"/>
    </row>
    <row r="307" spans="1:41" customFormat="1" ht="24" customHeight="1" x14ac:dyDescent="0.25">
      <c r="A307" s="3" t="s">
        <v>259</v>
      </c>
      <c r="B307" s="5">
        <f t="shared" si="82"/>
        <v>0</v>
      </c>
      <c r="C307" s="5">
        <f t="shared" si="83"/>
        <v>0</v>
      </c>
      <c r="D307" s="7">
        <f t="shared" si="85"/>
        <v>0</v>
      </c>
      <c r="E307" s="175"/>
      <c r="F307" s="175"/>
      <c r="G307" s="175"/>
      <c r="H307" s="175"/>
      <c r="I307" s="175"/>
      <c r="J307" s="175"/>
      <c r="K307" s="175"/>
      <c r="L307" s="175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29"/>
      <c r="AG307" s="29"/>
      <c r="AH307" s="29"/>
      <c r="AI307" s="29"/>
      <c r="AJ307" s="29"/>
      <c r="AK307" s="29"/>
      <c r="AL307" s="29"/>
      <c r="AM307" s="29"/>
      <c r="AN307" s="29"/>
      <c r="AO307" s="29"/>
    </row>
    <row r="308" spans="1:41" customFormat="1" ht="24" customHeight="1" thickBot="1" x14ac:dyDescent="0.3">
      <c r="A308" s="2" t="s">
        <v>349</v>
      </c>
      <c r="B308" s="65">
        <f t="shared" si="82"/>
        <v>0</v>
      </c>
      <c r="C308" s="65">
        <f t="shared" si="83"/>
        <v>0</v>
      </c>
      <c r="D308" s="67">
        <f t="shared" ref="D308" si="86">B308+C308</f>
        <v>0</v>
      </c>
      <c r="E308" s="175"/>
      <c r="F308" s="175"/>
      <c r="G308" s="175"/>
      <c r="H308" s="175"/>
      <c r="I308" s="175"/>
      <c r="J308" s="175"/>
      <c r="K308" s="175"/>
      <c r="L308" s="175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  <c r="AG308" s="29"/>
      <c r="AH308" s="29"/>
      <c r="AI308" s="29"/>
      <c r="AJ308" s="29"/>
      <c r="AK308" s="29"/>
      <c r="AL308" s="29"/>
      <c r="AM308" s="29"/>
      <c r="AN308" s="29"/>
      <c r="AO308" s="29"/>
    </row>
    <row r="309" spans="1:41" customFormat="1" ht="24" customHeight="1" x14ac:dyDescent="0.25">
      <c r="A309" s="1" t="s">
        <v>235</v>
      </c>
      <c r="B309" s="10">
        <f t="shared" si="82"/>
        <v>3533.493293055556</v>
      </c>
      <c r="C309" s="10">
        <f t="shared" si="83"/>
        <v>1185.1057320361115</v>
      </c>
      <c r="D309" s="9">
        <f t="shared" si="85"/>
        <v>4718.5990250916675</v>
      </c>
      <c r="E309" s="175"/>
      <c r="F309" s="175"/>
      <c r="G309" s="175"/>
      <c r="H309" s="175"/>
      <c r="I309" s="175"/>
      <c r="J309" s="175"/>
      <c r="K309" s="175"/>
      <c r="L309" s="175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29"/>
      <c r="AH309" s="29"/>
      <c r="AI309" s="29"/>
      <c r="AJ309" s="29"/>
      <c r="AK309" s="29"/>
      <c r="AL309" s="29"/>
      <c r="AM309" s="29"/>
      <c r="AN309" s="29"/>
      <c r="AO309" s="29"/>
    </row>
    <row r="310" spans="1:41" customFormat="1" ht="24" customHeight="1" thickBot="1" x14ac:dyDescent="0.3">
      <c r="A310" s="2" t="s">
        <v>236</v>
      </c>
      <c r="B310" s="65">
        <f t="shared" si="82"/>
        <v>3988.3470641203703</v>
      </c>
      <c r="C310" s="65">
        <f t="shared" si="83"/>
        <v>1366.1375329199077</v>
      </c>
      <c r="D310" s="67">
        <f t="shared" si="85"/>
        <v>5354.4845970402785</v>
      </c>
      <c r="E310" s="175"/>
      <c r="F310" s="175"/>
      <c r="G310" s="175"/>
      <c r="H310" s="175"/>
      <c r="I310" s="175"/>
      <c r="J310" s="175"/>
      <c r="K310" s="175"/>
      <c r="L310" s="175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29"/>
      <c r="AK310" s="29"/>
      <c r="AL310" s="29"/>
      <c r="AM310" s="29"/>
      <c r="AN310" s="29"/>
      <c r="AO310" s="29"/>
    </row>
    <row r="311" spans="1:41" customFormat="1" ht="24" customHeight="1" thickBot="1" x14ac:dyDescent="0.3">
      <c r="A311" s="183"/>
      <c r="B311" s="176"/>
      <c r="C311" s="176"/>
      <c r="D311" s="176"/>
      <c r="E311" s="175"/>
      <c r="F311" s="175"/>
      <c r="G311" s="175"/>
      <c r="H311" s="175"/>
      <c r="I311" s="175"/>
      <c r="J311" s="175"/>
      <c r="K311" s="175"/>
      <c r="L311" s="175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29"/>
      <c r="AH311" s="29"/>
      <c r="AI311" s="29"/>
      <c r="AJ311" s="29"/>
      <c r="AK311" s="29"/>
      <c r="AL311" s="29"/>
      <c r="AM311" s="29"/>
      <c r="AN311" s="29"/>
      <c r="AO311" s="29"/>
    </row>
    <row r="312" spans="1:41" ht="24" customHeight="1" thickBot="1" x14ac:dyDescent="0.3">
      <c r="A312" s="344" t="s">
        <v>249</v>
      </c>
      <c r="B312" s="345"/>
      <c r="C312" s="345"/>
      <c r="D312" s="346"/>
    </row>
    <row r="313" spans="1:41" ht="32.25" thickBot="1" x14ac:dyDescent="0.3">
      <c r="A313" s="12" t="s">
        <v>3</v>
      </c>
      <c r="B313" s="13" t="s">
        <v>1</v>
      </c>
      <c r="C313" s="27" t="s">
        <v>60</v>
      </c>
      <c r="D313" s="14" t="s">
        <v>4</v>
      </c>
    </row>
    <row r="314" spans="1:41" ht="24" customHeight="1" x14ac:dyDescent="0.25">
      <c r="A314" s="3" t="s">
        <v>234</v>
      </c>
      <c r="B314" s="5">
        <f t="shared" ref="B314:B319" si="87">D143</f>
        <v>218.3298101111111</v>
      </c>
      <c r="C314" s="151">
        <v>0.4</v>
      </c>
      <c r="D314" s="7">
        <f>B314*C314</f>
        <v>87.331924044444449</v>
      </c>
    </row>
    <row r="315" spans="1:41" ht="24" customHeight="1" thickBot="1" x14ac:dyDescent="0.3">
      <c r="A315" s="4" t="s">
        <v>237</v>
      </c>
      <c r="B315" s="6">
        <f t="shared" si="87"/>
        <v>254.71811179629628</v>
      </c>
      <c r="C315" s="71">
        <f>C314</f>
        <v>0.4</v>
      </c>
      <c r="D315" s="8">
        <f t="shared" ref="D315:D319" si="88">B315*C315</f>
        <v>101.88724471851852</v>
      </c>
    </row>
    <row r="316" spans="1:41" ht="24" customHeight="1" x14ac:dyDescent="0.25">
      <c r="A316" s="3" t="s">
        <v>259</v>
      </c>
      <c r="B316" s="5">
        <f t="shared" si="87"/>
        <v>0</v>
      </c>
      <c r="C316" s="151">
        <v>0.4</v>
      </c>
      <c r="D316" s="7">
        <f>B316*C316</f>
        <v>0</v>
      </c>
    </row>
    <row r="317" spans="1:41" ht="24" customHeight="1" thickBot="1" x14ac:dyDescent="0.3">
      <c r="A317" s="2" t="s">
        <v>349</v>
      </c>
      <c r="B317" s="6">
        <f t="shared" si="87"/>
        <v>0</v>
      </c>
      <c r="C317" s="71">
        <f>C316</f>
        <v>0.4</v>
      </c>
      <c r="D317" s="8">
        <f t="shared" ref="D317" si="89">B317*C317</f>
        <v>0</v>
      </c>
    </row>
    <row r="318" spans="1:41" ht="24" customHeight="1" x14ac:dyDescent="0.25">
      <c r="A318" s="3" t="s">
        <v>235</v>
      </c>
      <c r="B318" s="5">
        <f t="shared" si="87"/>
        <v>238.21220744444446</v>
      </c>
      <c r="C318" s="70">
        <v>0.4</v>
      </c>
      <c r="D318" s="7">
        <f t="shared" si="88"/>
        <v>95.284882977777784</v>
      </c>
    </row>
    <row r="319" spans="1:41" ht="24" customHeight="1" thickBot="1" x14ac:dyDescent="0.3">
      <c r="A319" s="2" t="s">
        <v>236</v>
      </c>
      <c r="B319" s="65">
        <f t="shared" si="87"/>
        <v>274.60050912962964</v>
      </c>
      <c r="C319" s="72">
        <v>0.4</v>
      </c>
      <c r="D319" s="67">
        <f t="shared" si="88"/>
        <v>109.84020365185187</v>
      </c>
    </row>
    <row r="320" spans="1:41" ht="24" customHeight="1" thickBot="1" x14ac:dyDescent="0.3"/>
    <row r="321" spans="1:41" customFormat="1" ht="24" customHeight="1" thickBot="1" x14ac:dyDescent="0.3">
      <c r="A321" s="360" t="s">
        <v>71</v>
      </c>
      <c r="B321" s="361"/>
      <c r="C321" s="361"/>
      <c r="D321" s="361"/>
      <c r="E321" s="361"/>
      <c r="F321" s="362"/>
      <c r="G321" s="90"/>
      <c r="H321" s="90"/>
      <c r="I321" s="90"/>
      <c r="J321" s="90"/>
      <c r="K321" s="90"/>
      <c r="L321" s="90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  <c r="AL321" s="29"/>
      <c r="AM321" s="29"/>
      <c r="AN321" s="29"/>
      <c r="AO321" s="29"/>
    </row>
    <row r="322" spans="1:41" customFormat="1" ht="30" customHeight="1" thickBot="1" x14ac:dyDescent="0.3">
      <c r="A322" s="184" t="s">
        <v>3</v>
      </c>
      <c r="B322" s="185" t="s">
        <v>1</v>
      </c>
      <c r="C322" s="185" t="s">
        <v>250</v>
      </c>
      <c r="D322" s="186" t="s">
        <v>245</v>
      </c>
      <c r="E322" s="186" t="s">
        <v>2</v>
      </c>
      <c r="F322" s="187" t="s">
        <v>4</v>
      </c>
      <c r="G322" s="90"/>
      <c r="H322" s="90"/>
      <c r="I322" s="90"/>
      <c r="J322" s="90"/>
      <c r="K322" s="90"/>
      <c r="L322" s="90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  <c r="AL322" s="29"/>
      <c r="AM322" s="29"/>
      <c r="AN322" s="29"/>
      <c r="AO322" s="29"/>
    </row>
    <row r="323" spans="1:41" customFormat="1" ht="24" customHeight="1" x14ac:dyDescent="0.25">
      <c r="A323" s="3" t="s">
        <v>234</v>
      </c>
      <c r="B323" s="5">
        <f t="shared" ref="B323:C326" si="90">B305</f>
        <v>3284.9633263888891</v>
      </c>
      <c r="C323" s="5">
        <f t="shared" si="90"/>
        <v>1086.1908053027778</v>
      </c>
      <c r="D323" s="5">
        <f t="shared" ref="D323:D328" si="91">D314</f>
        <v>87.331924044444449</v>
      </c>
      <c r="E323" s="81">
        <f>B267</f>
        <v>1.9400000000000001E-2</v>
      </c>
      <c r="F323" s="7">
        <f t="shared" ref="F323" si="92">(B323+C323+D323)*E323</f>
        <v>86.494629481280555</v>
      </c>
      <c r="G323" s="175"/>
      <c r="H323" s="175"/>
      <c r="I323" s="175"/>
      <c r="J323" s="175"/>
      <c r="K323" s="175"/>
      <c r="L323" s="175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  <c r="AL323" s="29"/>
      <c r="AM323" s="29"/>
      <c r="AN323" s="29"/>
      <c r="AO323" s="29"/>
    </row>
    <row r="324" spans="1:41" customFormat="1" ht="24" customHeight="1" thickBot="1" x14ac:dyDescent="0.3">
      <c r="A324" s="4" t="s">
        <v>237</v>
      </c>
      <c r="B324" s="65">
        <f t="shared" si="90"/>
        <v>3739.8170974537034</v>
      </c>
      <c r="C324" s="65">
        <f t="shared" si="90"/>
        <v>1267.2226061865742</v>
      </c>
      <c r="D324" s="65">
        <f t="shared" si="91"/>
        <v>101.88724471851852</v>
      </c>
      <c r="E324" s="80">
        <f>B267</f>
        <v>1.9400000000000001E-2</v>
      </c>
      <c r="F324" s="67">
        <f t="shared" ref="F324:F328" si="93">(B324+C324+D324)*E324</f>
        <v>99.113182798160651</v>
      </c>
      <c r="G324" s="175"/>
      <c r="H324" s="175"/>
      <c r="I324" s="175"/>
      <c r="J324" s="175"/>
      <c r="K324" s="175"/>
      <c r="L324" s="175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</row>
    <row r="325" spans="1:41" customFormat="1" ht="24" customHeight="1" x14ac:dyDescent="0.25">
      <c r="A325" s="3" t="s">
        <v>259</v>
      </c>
      <c r="B325" s="5">
        <f t="shared" si="90"/>
        <v>0</v>
      </c>
      <c r="C325" s="5">
        <f t="shared" si="90"/>
        <v>0</v>
      </c>
      <c r="D325" s="5">
        <f t="shared" si="91"/>
        <v>0</v>
      </c>
      <c r="E325" s="81">
        <f>B267</f>
        <v>1.9400000000000001E-2</v>
      </c>
      <c r="F325" s="7">
        <f t="shared" si="93"/>
        <v>0</v>
      </c>
      <c r="G325" s="175"/>
      <c r="H325" s="175"/>
      <c r="I325" s="175"/>
      <c r="J325" s="175"/>
      <c r="K325" s="175"/>
      <c r="L325" s="175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</row>
    <row r="326" spans="1:41" customFormat="1" ht="24" customHeight="1" thickBot="1" x14ac:dyDescent="0.3">
      <c r="A326" s="2" t="s">
        <v>349</v>
      </c>
      <c r="B326" s="65">
        <f t="shared" si="90"/>
        <v>0</v>
      </c>
      <c r="C326" s="65">
        <f t="shared" si="90"/>
        <v>0</v>
      </c>
      <c r="D326" s="65">
        <f t="shared" si="91"/>
        <v>0</v>
      </c>
      <c r="E326" s="80">
        <f>B267</f>
        <v>1.9400000000000001E-2</v>
      </c>
      <c r="F326" s="67">
        <f t="shared" ref="F326" si="94">(B326+C326+D326)*E326</f>
        <v>0</v>
      </c>
      <c r="G326" s="175"/>
      <c r="H326" s="175"/>
      <c r="I326" s="175"/>
      <c r="J326" s="175"/>
      <c r="K326" s="175"/>
      <c r="L326" s="175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  <c r="AL326" s="29"/>
      <c r="AM326" s="29"/>
      <c r="AN326" s="29"/>
      <c r="AO326" s="29"/>
    </row>
    <row r="327" spans="1:41" customFormat="1" ht="24" customHeight="1" x14ac:dyDescent="0.25">
      <c r="A327" s="3" t="s">
        <v>235</v>
      </c>
      <c r="B327" s="10">
        <f t="shared" ref="B327:C328" si="95">B309</f>
        <v>3533.493293055556</v>
      </c>
      <c r="C327" s="10">
        <f t="shared" si="95"/>
        <v>1185.1057320361115</v>
      </c>
      <c r="D327" s="10">
        <f t="shared" si="91"/>
        <v>95.284882977777784</v>
      </c>
      <c r="E327" s="188">
        <f>B267</f>
        <v>1.9400000000000001E-2</v>
      </c>
      <c r="F327" s="9">
        <f t="shared" si="93"/>
        <v>93.389347816547243</v>
      </c>
      <c r="G327" s="175"/>
      <c r="H327" s="175"/>
      <c r="I327" s="175"/>
      <c r="J327" s="175"/>
      <c r="K327" s="175"/>
      <c r="L327" s="175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  <c r="AL327" s="29"/>
      <c r="AM327" s="29"/>
      <c r="AN327" s="29"/>
      <c r="AO327" s="29"/>
    </row>
    <row r="328" spans="1:41" customFormat="1" ht="24" customHeight="1" thickBot="1" x14ac:dyDescent="0.3">
      <c r="A328" s="4" t="s">
        <v>236</v>
      </c>
      <c r="B328" s="65">
        <f t="shared" si="95"/>
        <v>3988.3470641203703</v>
      </c>
      <c r="C328" s="65">
        <f t="shared" si="95"/>
        <v>1366.1375329199077</v>
      </c>
      <c r="D328" s="65">
        <f t="shared" si="91"/>
        <v>109.84020365185187</v>
      </c>
      <c r="E328" s="80">
        <f>B267</f>
        <v>1.9400000000000001E-2</v>
      </c>
      <c r="F328" s="67">
        <f t="shared" si="93"/>
        <v>106.00790113342732</v>
      </c>
      <c r="G328" s="175"/>
      <c r="H328" s="175"/>
      <c r="I328" s="175"/>
      <c r="J328" s="175"/>
      <c r="K328" s="175"/>
      <c r="L328" s="175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29"/>
      <c r="AH328" s="29"/>
      <c r="AI328" s="29"/>
      <c r="AJ328" s="29"/>
      <c r="AK328" s="29"/>
      <c r="AL328" s="29"/>
      <c r="AM328" s="29"/>
      <c r="AN328" s="29"/>
      <c r="AO328" s="29"/>
    </row>
    <row r="330" spans="1:41" ht="24" customHeight="1" x14ac:dyDescent="0.25">
      <c r="A330" s="352" t="s">
        <v>63</v>
      </c>
      <c r="B330" s="353"/>
      <c r="C330" s="353"/>
      <c r="D330" s="353"/>
      <c r="E330" s="353"/>
      <c r="F330" s="353"/>
      <c r="G330" s="353"/>
      <c r="H330" s="353"/>
    </row>
    <row r="331" spans="1:41" ht="24" customHeight="1" thickBot="1" x14ac:dyDescent="0.3"/>
    <row r="332" spans="1:41" ht="24" customHeight="1" thickBot="1" x14ac:dyDescent="0.3">
      <c r="A332" s="341" t="s">
        <v>66</v>
      </c>
      <c r="B332" s="342"/>
      <c r="C332" s="342"/>
      <c r="D332" s="342"/>
      <c r="E332" s="343"/>
    </row>
    <row r="333" spans="1:41" ht="31.5" customHeight="1" thickBot="1" x14ac:dyDescent="0.3">
      <c r="A333" s="12" t="s">
        <v>3</v>
      </c>
      <c r="B333" s="15" t="s">
        <v>128</v>
      </c>
      <c r="C333" s="15" t="s">
        <v>65</v>
      </c>
      <c r="D333" s="15" t="s">
        <v>64</v>
      </c>
      <c r="E333" s="14" t="s">
        <v>4</v>
      </c>
    </row>
    <row r="334" spans="1:41" ht="24" customHeight="1" x14ac:dyDescent="0.25">
      <c r="A334" s="3" t="s">
        <v>234</v>
      </c>
      <c r="B334" s="32">
        <f t="shared" ref="B334:B339" si="96">-D83</f>
        <v>-190.40390416666665</v>
      </c>
      <c r="C334" s="32">
        <f t="shared" ref="C334:C339" si="97">-D92</f>
        <v>-190.40390416666665</v>
      </c>
      <c r="D334" s="32">
        <f t="shared" ref="D334:D339" si="98">-E101</f>
        <v>-63.467968055555545</v>
      </c>
      <c r="E334" s="33">
        <f t="shared" ref="E334:E339" si="99">SUM(B334:D334)</f>
        <v>-444.27577638888886</v>
      </c>
    </row>
    <row r="335" spans="1:41" ht="24" customHeight="1" thickBot="1" x14ac:dyDescent="0.3">
      <c r="A335" s="4" t="s">
        <v>237</v>
      </c>
      <c r="B335" s="30">
        <f t="shared" si="96"/>
        <v>-222.13788819444443</v>
      </c>
      <c r="C335" s="30">
        <f t="shared" si="97"/>
        <v>-222.13788819444443</v>
      </c>
      <c r="D335" s="30">
        <f t="shared" si="98"/>
        <v>-74.045962731481467</v>
      </c>
      <c r="E335" s="31">
        <f t="shared" si="99"/>
        <v>-518.32173912037035</v>
      </c>
    </row>
    <row r="336" spans="1:41" ht="24" customHeight="1" x14ac:dyDescent="0.25">
      <c r="A336" s="3" t="s">
        <v>259</v>
      </c>
      <c r="B336" s="32">
        <f t="shared" si="96"/>
        <v>0</v>
      </c>
      <c r="C336" s="32">
        <f t="shared" si="97"/>
        <v>0</v>
      </c>
      <c r="D336" s="32">
        <f t="shared" si="98"/>
        <v>0</v>
      </c>
      <c r="E336" s="33">
        <f t="shared" ref="E336:E337" si="100">SUM(B336:D336)</f>
        <v>0</v>
      </c>
    </row>
    <row r="337" spans="1:8" ht="24" customHeight="1" thickBot="1" x14ac:dyDescent="0.3">
      <c r="A337" s="2" t="s">
        <v>349</v>
      </c>
      <c r="B337" s="30">
        <f t="shared" si="96"/>
        <v>0</v>
      </c>
      <c r="C337" s="30">
        <f t="shared" si="97"/>
        <v>0</v>
      </c>
      <c r="D337" s="30">
        <f t="shared" si="98"/>
        <v>0</v>
      </c>
      <c r="E337" s="31">
        <f t="shared" si="100"/>
        <v>0</v>
      </c>
    </row>
    <row r="338" spans="1:8" ht="24" customHeight="1" x14ac:dyDescent="0.25">
      <c r="A338" s="3" t="s">
        <v>235</v>
      </c>
      <c r="B338" s="32">
        <f t="shared" si="96"/>
        <v>-207.74320416666666</v>
      </c>
      <c r="C338" s="32">
        <f t="shared" si="97"/>
        <v>-207.74320416666666</v>
      </c>
      <c r="D338" s="32">
        <f t="shared" si="98"/>
        <v>-69.247734722222219</v>
      </c>
      <c r="E338" s="33">
        <f t="shared" si="99"/>
        <v>-484.73414305555553</v>
      </c>
    </row>
    <row r="339" spans="1:8" ht="24" customHeight="1" thickBot="1" x14ac:dyDescent="0.3">
      <c r="A339" s="2" t="s">
        <v>236</v>
      </c>
      <c r="B339" s="66">
        <f t="shared" si="96"/>
        <v>-239.47718819444447</v>
      </c>
      <c r="C339" s="66">
        <f t="shared" si="97"/>
        <v>-239.47718819444447</v>
      </c>
      <c r="D339" s="66">
        <f t="shared" si="98"/>
        <v>-79.825729398148155</v>
      </c>
      <c r="E339" s="241">
        <f t="shared" si="99"/>
        <v>-558.78010578703709</v>
      </c>
    </row>
    <row r="340" spans="1:8" ht="24" customHeight="1" thickBot="1" x14ac:dyDescent="0.3"/>
    <row r="341" spans="1:8" ht="24" customHeight="1" thickBot="1" x14ac:dyDescent="0.3">
      <c r="A341" s="349" t="s">
        <v>67</v>
      </c>
      <c r="B341" s="350"/>
      <c r="C341" s="350"/>
      <c r="D341" s="351"/>
    </row>
    <row r="342" spans="1:8" ht="24" customHeight="1" thickBot="1" x14ac:dyDescent="0.3">
      <c r="A342" s="12" t="s">
        <v>3</v>
      </c>
      <c r="B342" s="13" t="s">
        <v>7</v>
      </c>
      <c r="C342" s="13" t="s">
        <v>2</v>
      </c>
      <c r="D342" s="14" t="s">
        <v>4</v>
      </c>
    </row>
    <row r="343" spans="1:8" ht="24" customHeight="1" x14ac:dyDescent="0.25">
      <c r="A343" s="3" t="s">
        <v>234</v>
      </c>
      <c r="B343" s="32">
        <f t="shared" ref="B343:B348" si="101">E334</f>
        <v>-444.27577638888886</v>
      </c>
      <c r="C343" s="81">
        <f>$B$268</f>
        <v>0</v>
      </c>
      <c r="D343" s="33">
        <f>B343*C343</f>
        <v>0</v>
      </c>
    </row>
    <row r="344" spans="1:8" ht="24" customHeight="1" thickBot="1" x14ac:dyDescent="0.3">
      <c r="A344" s="4" t="s">
        <v>237</v>
      </c>
      <c r="B344" s="30">
        <f t="shared" si="101"/>
        <v>-518.32173912037035</v>
      </c>
      <c r="C344" s="79">
        <f t="shared" ref="C344:C348" si="102">$B$268</f>
        <v>0</v>
      </c>
      <c r="D344" s="31">
        <f t="shared" ref="D344:D348" si="103">B344*C344</f>
        <v>0</v>
      </c>
    </row>
    <row r="345" spans="1:8" ht="24" customHeight="1" x14ac:dyDescent="0.25">
      <c r="A345" s="3" t="s">
        <v>259</v>
      </c>
      <c r="B345" s="32">
        <f t="shared" si="101"/>
        <v>0</v>
      </c>
      <c r="C345" s="81">
        <f>$B$268</f>
        <v>0</v>
      </c>
      <c r="D345" s="33">
        <f>B345*C345</f>
        <v>0</v>
      </c>
    </row>
    <row r="346" spans="1:8" ht="24" customHeight="1" thickBot="1" x14ac:dyDescent="0.3">
      <c r="A346" s="2" t="s">
        <v>349</v>
      </c>
      <c r="B346" s="30">
        <f t="shared" si="101"/>
        <v>0</v>
      </c>
      <c r="C346" s="79">
        <f t="shared" si="102"/>
        <v>0</v>
      </c>
      <c r="D346" s="31">
        <f t="shared" ref="D346" si="104">B346*C346</f>
        <v>0</v>
      </c>
    </row>
    <row r="347" spans="1:8" ht="24" customHeight="1" x14ac:dyDescent="0.25">
      <c r="A347" s="3" t="s">
        <v>235</v>
      </c>
      <c r="B347" s="32">
        <f t="shared" si="101"/>
        <v>-484.73414305555553</v>
      </c>
      <c r="C347" s="81">
        <f t="shared" si="102"/>
        <v>0</v>
      </c>
      <c r="D347" s="33">
        <f t="shared" si="103"/>
        <v>0</v>
      </c>
    </row>
    <row r="348" spans="1:8" ht="24" customHeight="1" thickBot="1" x14ac:dyDescent="0.3">
      <c r="A348" s="2" t="s">
        <v>236</v>
      </c>
      <c r="B348" s="66">
        <f t="shared" si="101"/>
        <v>-558.78010578703709</v>
      </c>
      <c r="C348" s="80">
        <f t="shared" si="102"/>
        <v>0</v>
      </c>
      <c r="D348" s="241">
        <f t="shared" si="103"/>
        <v>0</v>
      </c>
    </row>
    <row r="350" spans="1:8" ht="24" customHeight="1" x14ac:dyDescent="0.25">
      <c r="A350" s="347" t="s">
        <v>47</v>
      </c>
      <c r="B350" s="347"/>
      <c r="C350" s="347"/>
      <c r="D350" s="347"/>
      <c r="E350" s="347"/>
      <c r="F350" s="347"/>
      <c r="G350" s="347"/>
      <c r="H350" s="347"/>
    </row>
    <row r="351" spans="1:8" ht="24" customHeight="1" thickBot="1" x14ac:dyDescent="0.3"/>
    <row r="352" spans="1:8" ht="24" customHeight="1" thickBot="1" x14ac:dyDescent="0.3">
      <c r="A352" s="341" t="s">
        <v>47</v>
      </c>
      <c r="B352" s="342"/>
      <c r="C352" s="342"/>
      <c r="D352" s="342"/>
      <c r="E352" s="343"/>
    </row>
    <row r="353" spans="1:8" ht="24" customHeight="1" thickBot="1" x14ac:dyDescent="0.3">
      <c r="A353" s="12" t="s">
        <v>3</v>
      </c>
      <c r="B353" s="13" t="s">
        <v>68</v>
      </c>
      <c r="C353" s="13" t="s">
        <v>69</v>
      </c>
      <c r="D353" s="13" t="s">
        <v>70</v>
      </c>
      <c r="E353" s="14" t="s">
        <v>12</v>
      </c>
    </row>
    <row r="354" spans="1:8" ht="24" customHeight="1" x14ac:dyDescent="0.25">
      <c r="A354" s="3" t="s">
        <v>234</v>
      </c>
      <c r="B354" s="5">
        <f t="shared" ref="B354:B359" si="105">F294</f>
        <v>12.746094314286664</v>
      </c>
      <c r="C354" s="5">
        <f t="shared" ref="C354:C359" si="106">F323</f>
        <v>86.494629481280555</v>
      </c>
      <c r="D354" s="32">
        <f>D343</f>
        <v>0</v>
      </c>
      <c r="E354" s="7">
        <f t="shared" ref="E354:E359" si="107">SUM(B354:D354)</f>
        <v>99.24072379556722</v>
      </c>
    </row>
    <row r="355" spans="1:8" ht="24" customHeight="1" thickBot="1" x14ac:dyDescent="0.3">
      <c r="A355" s="2" t="s">
        <v>237</v>
      </c>
      <c r="B355" s="65">
        <f t="shared" si="105"/>
        <v>14.870443366667777</v>
      </c>
      <c r="C355" s="65">
        <f t="shared" si="106"/>
        <v>99.113182798160651</v>
      </c>
      <c r="D355" s="66">
        <f>D344</f>
        <v>0</v>
      </c>
      <c r="E355" s="67">
        <f t="shared" si="107"/>
        <v>113.98362616482842</v>
      </c>
    </row>
    <row r="356" spans="1:8" ht="24" customHeight="1" x14ac:dyDescent="0.25">
      <c r="A356" s="3" t="s">
        <v>259</v>
      </c>
      <c r="B356" s="5">
        <f t="shared" si="105"/>
        <v>0</v>
      </c>
      <c r="C356" s="5">
        <f t="shared" si="106"/>
        <v>0</v>
      </c>
      <c r="D356" s="32">
        <f>D347</f>
        <v>0</v>
      </c>
      <c r="E356" s="7">
        <f t="shared" ref="E356:E357" si="108">SUM(B356:D356)</f>
        <v>0</v>
      </c>
    </row>
    <row r="357" spans="1:8" ht="24" customHeight="1" thickBot="1" x14ac:dyDescent="0.3">
      <c r="A357" s="2" t="s">
        <v>349</v>
      </c>
      <c r="B357" s="65">
        <f t="shared" si="105"/>
        <v>0</v>
      </c>
      <c r="C357" s="65">
        <f t="shared" si="106"/>
        <v>0</v>
      </c>
      <c r="D357" s="66">
        <f>D348</f>
        <v>0</v>
      </c>
      <c r="E357" s="67">
        <f t="shared" si="108"/>
        <v>0</v>
      </c>
    </row>
    <row r="358" spans="1:8" ht="24" customHeight="1" x14ac:dyDescent="0.25">
      <c r="A358" s="3" t="s">
        <v>235</v>
      </c>
      <c r="B358" s="5">
        <f t="shared" si="105"/>
        <v>13.906828670606668</v>
      </c>
      <c r="C358" s="5">
        <f t="shared" si="106"/>
        <v>93.389347816547243</v>
      </c>
      <c r="D358" s="32">
        <f>D347</f>
        <v>0</v>
      </c>
      <c r="E358" s="7">
        <f t="shared" si="107"/>
        <v>107.29617648715391</v>
      </c>
    </row>
    <row r="359" spans="1:8" ht="24" customHeight="1" thickBot="1" x14ac:dyDescent="0.3">
      <c r="A359" s="2" t="s">
        <v>236</v>
      </c>
      <c r="B359" s="65">
        <f t="shared" si="105"/>
        <v>16.031177722987778</v>
      </c>
      <c r="C359" s="65">
        <f t="shared" si="106"/>
        <v>106.00790113342732</v>
      </c>
      <c r="D359" s="66">
        <f>D348</f>
        <v>0</v>
      </c>
      <c r="E359" s="67">
        <f t="shared" si="107"/>
        <v>122.0390788564151</v>
      </c>
    </row>
    <row r="361" spans="1:8" ht="24" customHeight="1" x14ac:dyDescent="0.25">
      <c r="A361" s="347" t="s">
        <v>72</v>
      </c>
      <c r="B361" s="347"/>
      <c r="C361" s="347"/>
      <c r="D361" s="347"/>
      <c r="E361" s="347"/>
      <c r="F361" s="347"/>
      <c r="G361" s="347"/>
      <c r="H361" s="347"/>
    </row>
    <row r="362" spans="1:8" ht="24" customHeight="1" thickBot="1" x14ac:dyDescent="0.3"/>
    <row r="363" spans="1:8" ht="30.6" customHeight="1" thickBot="1" x14ac:dyDescent="0.3">
      <c r="A363" s="344" t="s">
        <v>136</v>
      </c>
      <c r="B363" s="345"/>
      <c r="C363" s="345"/>
      <c r="D363" s="345"/>
      <c r="E363" s="346"/>
    </row>
    <row r="364" spans="1:8" ht="24" customHeight="1" thickBot="1" x14ac:dyDescent="0.3">
      <c r="A364" s="344" t="s">
        <v>76</v>
      </c>
      <c r="B364" s="345"/>
      <c r="C364" s="345"/>
      <c r="D364" s="345"/>
      <c r="E364" s="346"/>
    </row>
    <row r="365" spans="1:8" ht="24" customHeight="1" thickBot="1" x14ac:dyDescent="0.3">
      <c r="A365" s="363" t="s">
        <v>3</v>
      </c>
      <c r="B365" s="363" t="s">
        <v>77</v>
      </c>
      <c r="C365" s="363" t="s">
        <v>78</v>
      </c>
      <c r="D365" s="344" t="s">
        <v>79</v>
      </c>
      <c r="E365" s="346"/>
    </row>
    <row r="366" spans="1:8" ht="29.25" customHeight="1" thickBot="1" x14ac:dyDescent="0.3">
      <c r="A366" s="364"/>
      <c r="B366" s="364"/>
      <c r="C366" s="364"/>
      <c r="D366" s="53" t="s">
        <v>80</v>
      </c>
      <c r="E366" s="53" t="s">
        <v>81</v>
      </c>
    </row>
    <row r="367" spans="1:8" ht="24" customHeight="1" x14ac:dyDescent="0.25">
      <c r="A367" s="40" t="s">
        <v>16</v>
      </c>
      <c r="B367" s="41">
        <v>1</v>
      </c>
      <c r="C367" s="42">
        <v>30</v>
      </c>
      <c r="D367" s="43">
        <v>0.5</v>
      </c>
      <c r="E367" s="323">
        <f>(B367*C367)*D367</f>
        <v>15</v>
      </c>
    </row>
    <row r="368" spans="1:8" ht="24" customHeight="1" x14ac:dyDescent="0.25">
      <c r="A368" s="23" t="s">
        <v>82</v>
      </c>
      <c r="B368" s="44">
        <v>1</v>
      </c>
      <c r="C368" s="45">
        <v>1</v>
      </c>
      <c r="D368" s="46">
        <v>1</v>
      </c>
      <c r="E368" s="324">
        <f t="shared" ref="E368:E378" si="109">(B368*C368)*D368</f>
        <v>1</v>
      </c>
    </row>
    <row r="369" spans="1:5" ht="24" customHeight="1" x14ac:dyDescent="0.25">
      <c r="A369" s="23" t="s">
        <v>83</v>
      </c>
      <c r="B369" s="44">
        <v>9.2200000000000004E-2</v>
      </c>
      <c r="C369" s="45">
        <v>15</v>
      </c>
      <c r="D369" s="46">
        <v>0.5</v>
      </c>
      <c r="E369" s="324">
        <f t="shared" si="109"/>
        <v>0.6915</v>
      </c>
    </row>
    <row r="370" spans="1:5" ht="24" customHeight="1" x14ac:dyDescent="0.25">
      <c r="A370" s="23" t="s">
        <v>84</v>
      </c>
      <c r="B370" s="44">
        <v>1</v>
      </c>
      <c r="C370" s="45">
        <v>5</v>
      </c>
      <c r="D370" s="46">
        <v>0.5</v>
      </c>
      <c r="E370" s="324">
        <f t="shared" si="109"/>
        <v>2.5</v>
      </c>
    </row>
    <row r="371" spans="1:5" ht="24" customHeight="1" x14ac:dyDescent="0.25">
      <c r="A371" s="23" t="s">
        <v>85</v>
      </c>
      <c r="B371" s="44">
        <v>0.1522</v>
      </c>
      <c r="C371" s="45">
        <v>2</v>
      </c>
      <c r="D371" s="46">
        <v>1</v>
      </c>
      <c r="E371" s="324">
        <f t="shared" si="109"/>
        <v>0.3044</v>
      </c>
    </row>
    <row r="372" spans="1:5" ht="24" customHeight="1" x14ac:dyDescent="0.25">
      <c r="A372" s="23" t="s">
        <v>86</v>
      </c>
      <c r="B372" s="44">
        <v>3.09E-2</v>
      </c>
      <c r="C372" s="45">
        <v>2</v>
      </c>
      <c r="D372" s="46">
        <v>0.5</v>
      </c>
      <c r="E372" s="324">
        <f t="shared" si="109"/>
        <v>3.09E-2</v>
      </c>
    </row>
    <row r="373" spans="1:5" ht="24" customHeight="1" x14ac:dyDescent="0.25">
      <c r="A373" s="23" t="s">
        <v>87</v>
      </c>
      <c r="B373" s="44">
        <v>1.23E-2</v>
      </c>
      <c r="C373" s="45">
        <v>3</v>
      </c>
      <c r="D373" s="46">
        <v>0.5</v>
      </c>
      <c r="E373" s="324">
        <f t="shared" si="109"/>
        <v>1.8450000000000001E-2</v>
      </c>
    </row>
    <row r="374" spans="1:5" ht="24" customHeight="1" x14ac:dyDescent="0.25">
      <c r="A374" s="23" t="s">
        <v>88</v>
      </c>
      <c r="B374" s="44">
        <v>0.02</v>
      </c>
      <c r="C374" s="45">
        <v>1</v>
      </c>
      <c r="D374" s="46">
        <v>1</v>
      </c>
      <c r="E374" s="324">
        <f t="shared" si="109"/>
        <v>0.02</v>
      </c>
    </row>
    <row r="375" spans="1:5" ht="24" customHeight="1" x14ac:dyDescent="0.25">
      <c r="A375" s="23" t="s">
        <v>89</v>
      </c>
      <c r="B375" s="44">
        <v>4.0000000000000001E-3</v>
      </c>
      <c r="C375" s="45">
        <v>1</v>
      </c>
      <c r="D375" s="46">
        <v>1</v>
      </c>
      <c r="E375" s="324">
        <f t="shared" si="109"/>
        <v>4.0000000000000001E-3</v>
      </c>
    </row>
    <row r="376" spans="1:5" ht="24" customHeight="1" x14ac:dyDescent="0.25">
      <c r="A376" s="23" t="s">
        <v>90</v>
      </c>
      <c r="B376" s="44">
        <v>3.2099999999999997E-2</v>
      </c>
      <c r="C376" s="45">
        <v>20</v>
      </c>
      <c r="D376" s="46">
        <v>0.5</v>
      </c>
      <c r="E376" s="324">
        <f t="shared" si="109"/>
        <v>0.32099999999999995</v>
      </c>
    </row>
    <row r="377" spans="1:5" ht="24" customHeight="1" x14ac:dyDescent="0.25">
      <c r="A377" s="23" t="s">
        <v>91</v>
      </c>
      <c r="B377" s="44">
        <v>2.8E-3</v>
      </c>
      <c r="C377" s="45">
        <v>180</v>
      </c>
      <c r="D377" s="46">
        <v>0.5</v>
      </c>
      <c r="E377" s="324">
        <f t="shared" si="109"/>
        <v>0.252</v>
      </c>
    </row>
    <row r="378" spans="1:5" ht="24" customHeight="1" thickBot="1" x14ac:dyDescent="0.3">
      <c r="A378" s="47" t="s">
        <v>92</v>
      </c>
      <c r="B378" s="64">
        <v>2.0000000000000001E-4</v>
      </c>
      <c r="C378" s="48">
        <v>6</v>
      </c>
      <c r="D378" s="49">
        <v>1</v>
      </c>
      <c r="E378" s="325">
        <f t="shared" si="109"/>
        <v>1.2000000000000001E-3</v>
      </c>
    </row>
    <row r="379" spans="1:5" ht="24" customHeight="1" thickBot="1" x14ac:dyDescent="0.3"/>
    <row r="380" spans="1:5" ht="34.15" customHeight="1" thickBot="1" x14ac:dyDescent="0.3">
      <c r="A380" s="344" t="s">
        <v>97</v>
      </c>
      <c r="B380" s="345"/>
      <c r="C380" s="346"/>
    </row>
    <row r="381" spans="1:5" ht="24" customHeight="1" thickBot="1" x14ac:dyDescent="0.3">
      <c r="A381" s="358" t="s">
        <v>93</v>
      </c>
      <c r="B381" s="344" t="s">
        <v>251</v>
      </c>
      <c r="C381" s="346"/>
    </row>
    <row r="382" spans="1:5" ht="24" customHeight="1" thickBot="1" x14ac:dyDescent="0.3">
      <c r="A382" s="359"/>
      <c r="B382" s="153" t="s">
        <v>94</v>
      </c>
      <c r="C382" s="154" t="s">
        <v>95</v>
      </c>
    </row>
    <row r="383" spans="1:5" ht="24" customHeight="1" x14ac:dyDescent="0.25">
      <c r="A383" s="40" t="s">
        <v>16</v>
      </c>
      <c r="B383" s="41">
        <f t="shared" ref="B383:B394" si="110">E367</f>
        <v>15</v>
      </c>
      <c r="C383" s="50">
        <f t="shared" ref="C383:C394" si="111">E367</f>
        <v>15</v>
      </c>
    </row>
    <row r="384" spans="1:5" ht="24" customHeight="1" x14ac:dyDescent="0.25">
      <c r="A384" s="23" t="s">
        <v>82</v>
      </c>
      <c r="B384" s="44">
        <f t="shared" si="110"/>
        <v>1</v>
      </c>
      <c r="C384" s="51">
        <f t="shared" si="111"/>
        <v>1</v>
      </c>
    </row>
    <row r="385" spans="1:8" ht="24" customHeight="1" x14ac:dyDescent="0.25">
      <c r="A385" s="23" t="s">
        <v>83</v>
      </c>
      <c r="B385" s="44">
        <f t="shared" si="110"/>
        <v>0.6915</v>
      </c>
      <c r="C385" s="51">
        <f t="shared" si="111"/>
        <v>0.6915</v>
      </c>
    </row>
    <row r="386" spans="1:8" ht="24" customHeight="1" x14ac:dyDescent="0.25">
      <c r="A386" s="23" t="s">
        <v>84</v>
      </c>
      <c r="B386" s="44">
        <f t="shared" si="110"/>
        <v>2.5</v>
      </c>
      <c r="C386" s="51">
        <f t="shared" si="111"/>
        <v>2.5</v>
      </c>
    </row>
    <row r="387" spans="1:8" ht="24" customHeight="1" x14ac:dyDescent="0.25">
      <c r="A387" s="23" t="s">
        <v>85</v>
      </c>
      <c r="B387" s="44">
        <f t="shared" si="110"/>
        <v>0.3044</v>
      </c>
      <c r="C387" s="51">
        <f t="shared" si="111"/>
        <v>0.3044</v>
      </c>
    </row>
    <row r="388" spans="1:8" ht="24" customHeight="1" x14ac:dyDescent="0.25">
      <c r="A388" s="23" t="s">
        <v>86</v>
      </c>
      <c r="B388" s="44">
        <f t="shared" si="110"/>
        <v>3.09E-2</v>
      </c>
      <c r="C388" s="51">
        <f t="shared" si="111"/>
        <v>3.09E-2</v>
      </c>
    </row>
    <row r="389" spans="1:8" ht="24" customHeight="1" x14ac:dyDescent="0.25">
      <c r="A389" s="23" t="s">
        <v>87</v>
      </c>
      <c r="B389" s="44">
        <f t="shared" si="110"/>
        <v>1.8450000000000001E-2</v>
      </c>
      <c r="C389" s="51">
        <f t="shared" si="111"/>
        <v>1.8450000000000001E-2</v>
      </c>
    </row>
    <row r="390" spans="1:8" ht="24" customHeight="1" x14ac:dyDescent="0.25">
      <c r="A390" s="23" t="s">
        <v>88</v>
      </c>
      <c r="B390" s="44">
        <f t="shared" si="110"/>
        <v>0.02</v>
      </c>
      <c r="C390" s="51">
        <f t="shared" si="111"/>
        <v>0.02</v>
      </c>
    </row>
    <row r="391" spans="1:8" ht="24" customHeight="1" x14ac:dyDescent="0.25">
      <c r="A391" s="23" t="s">
        <v>89</v>
      </c>
      <c r="B391" s="44">
        <f t="shared" si="110"/>
        <v>4.0000000000000001E-3</v>
      </c>
      <c r="C391" s="51">
        <f t="shared" si="111"/>
        <v>4.0000000000000001E-3</v>
      </c>
    </row>
    <row r="392" spans="1:8" ht="24" customHeight="1" x14ac:dyDescent="0.25">
      <c r="A392" s="23" t="s">
        <v>90</v>
      </c>
      <c r="B392" s="44">
        <f t="shared" si="110"/>
        <v>0.32099999999999995</v>
      </c>
      <c r="C392" s="51">
        <f t="shared" si="111"/>
        <v>0.32099999999999995</v>
      </c>
    </row>
    <row r="393" spans="1:8" ht="24" customHeight="1" x14ac:dyDescent="0.25">
      <c r="A393" s="23" t="s">
        <v>91</v>
      </c>
      <c r="B393" s="44">
        <f t="shared" si="110"/>
        <v>0.252</v>
      </c>
      <c r="C393" s="51">
        <f t="shared" si="111"/>
        <v>0.252</v>
      </c>
    </row>
    <row r="394" spans="1:8" ht="24" customHeight="1" thickBot="1" x14ac:dyDescent="0.3">
      <c r="A394" s="47" t="s">
        <v>92</v>
      </c>
      <c r="B394" s="64">
        <f t="shared" si="110"/>
        <v>1.2000000000000001E-3</v>
      </c>
      <c r="C394" s="189">
        <f t="shared" si="111"/>
        <v>1.2000000000000001E-3</v>
      </c>
    </row>
    <row r="395" spans="1:8" ht="24" customHeight="1" thickBot="1" x14ac:dyDescent="0.3">
      <c r="A395" s="153" t="s">
        <v>96</v>
      </c>
      <c r="B395" s="55">
        <f>SUM(B383:B394)</f>
        <v>20.143450000000005</v>
      </c>
      <c r="C395" s="237">
        <f>SUM(C383:C394)</f>
        <v>20.143450000000005</v>
      </c>
      <c r="H395" s="90"/>
    </row>
    <row r="397" spans="1:8" ht="24" customHeight="1" x14ac:dyDescent="0.25">
      <c r="A397" s="352" t="s">
        <v>101</v>
      </c>
      <c r="B397" s="353"/>
      <c r="C397" s="353"/>
      <c r="D397" s="353"/>
      <c r="E397" s="353"/>
      <c r="F397" s="353"/>
      <c r="G397" s="353"/>
      <c r="H397" s="353"/>
    </row>
    <row r="398" spans="1:8" ht="24" customHeight="1" thickBot="1" x14ac:dyDescent="0.3"/>
    <row r="399" spans="1:8" ht="24" customHeight="1" thickBot="1" x14ac:dyDescent="0.3">
      <c r="A399" s="349" t="s">
        <v>75</v>
      </c>
      <c r="B399" s="350"/>
      <c r="C399" s="350"/>
      <c r="D399" s="351"/>
    </row>
    <row r="400" spans="1:8" ht="24" customHeight="1" thickBot="1" x14ac:dyDescent="0.3">
      <c r="A400" s="12" t="s">
        <v>3</v>
      </c>
      <c r="B400" s="13" t="s">
        <v>1</v>
      </c>
      <c r="C400" s="13" t="s">
        <v>74</v>
      </c>
      <c r="D400" s="14" t="s">
        <v>73</v>
      </c>
    </row>
    <row r="401" spans="1:5" ht="24" customHeight="1" x14ac:dyDescent="0.25">
      <c r="A401" s="3" t="s">
        <v>234</v>
      </c>
      <c r="B401" s="5">
        <f t="shared" ref="B401:B406" si="112">H70+E254+E354</f>
        <v>4470.3948554872341</v>
      </c>
      <c r="C401" s="19">
        <v>30</v>
      </c>
      <c r="D401" s="7">
        <f>B401/C401</f>
        <v>149.01316184957446</v>
      </c>
    </row>
    <row r="402" spans="1:5" ht="24" customHeight="1" thickBot="1" x14ac:dyDescent="0.3">
      <c r="A402" s="4" t="s">
        <v>237</v>
      </c>
      <c r="B402" s="6">
        <f t="shared" si="112"/>
        <v>5121.0233298051062</v>
      </c>
      <c r="C402" s="20">
        <f>C401</f>
        <v>30</v>
      </c>
      <c r="D402" s="8">
        <f t="shared" ref="D402:D406" si="113">B402/C402</f>
        <v>170.70077766017022</v>
      </c>
    </row>
    <row r="403" spans="1:5" ht="24" customHeight="1" x14ac:dyDescent="0.25">
      <c r="A403" s="3" t="s">
        <v>259</v>
      </c>
      <c r="B403" s="5">
        <f t="shared" si="112"/>
        <v>0</v>
      </c>
      <c r="C403" s="19">
        <v>30</v>
      </c>
      <c r="D403" s="7">
        <f>B403/C403</f>
        <v>0</v>
      </c>
    </row>
    <row r="404" spans="1:5" ht="24" customHeight="1" thickBot="1" x14ac:dyDescent="0.3">
      <c r="A404" s="2" t="s">
        <v>349</v>
      </c>
      <c r="B404" s="6">
        <f t="shared" si="112"/>
        <v>0</v>
      </c>
      <c r="C404" s="20">
        <f>C403</f>
        <v>30</v>
      </c>
      <c r="D404" s="8">
        <f t="shared" ref="D404" si="114">B404/C404</f>
        <v>0</v>
      </c>
    </row>
    <row r="405" spans="1:5" ht="24" customHeight="1" x14ac:dyDescent="0.25">
      <c r="A405" s="3" t="s">
        <v>235</v>
      </c>
      <c r="B405" s="5">
        <f t="shared" si="112"/>
        <v>4825.8952015788218</v>
      </c>
      <c r="C405" s="19">
        <v>30</v>
      </c>
      <c r="D405" s="7">
        <f t="shared" si="113"/>
        <v>160.86317338596072</v>
      </c>
    </row>
    <row r="406" spans="1:5" ht="24" customHeight="1" thickBot="1" x14ac:dyDescent="0.3">
      <c r="A406" s="2" t="s">
        <v>236</v>
      </c>
      <c r="B406" s="65">
        <f t="shared" si="112"/>
        <v>5476.5236758966939</v>
      </c>
      <c r="C406" s="21">
        <v>30</v>
      </c>
      <c r="D406" s="67">
        <f t="shared" si="113"/>
        <v>182.55078919655645</v>
      </c>
    </row>
    <row r="407" spans="1:5" ht="24" customHeight="1" thickBot="1" x14ac:dyDescent="0.3"/>
    <row r="408" spans="1:5" ht="24" customHeight="1" thickBot="1" x14ac:dyDescent="0.3">
      <c r="A408" s="344" t="s">
        <v>101</v>
      </c>
      <c r="B408" s="345"/>
      <c r="C408" s="345"/>
      <c r="D408" s="345"/>
      <c r="E408" s="346"/>
    </row>
    <row r="409" spans="1:5" ht="29.25" customHeight="1" thickBot="1" x14ac:dyDescent="0.3">
      <c r="A409" s="12" t="s">
        <v>3</v>
      </c>
      <c r="B409" s="13" t="s">
        <v>73</v>
      </c>
      <c r="C409" s="15" t="s">
        <v>98</v>
      </c>
      <c r="D409" s="13" t="s">
        <v>99</v>
      </c>
      <c r="E409" s="14" t="s">
        <v>100</v>
      </c>
    </row>
    <row r="410" spans="1:5" ht="24" customHeight="1" x14ac:dyDescent="0.25">
      <c r="A410" s="3" t="s">
        <v>234</v>
      </c>
      <c r="B410" s="5">
        <f t="shared" ref="B410:B415" si="115">D401</f>
        <v>149.01316184957446</v>
      </c>
      <c r="C410" s="58">
        <f>B395</f>
        <v>20.143450000000005</v>
      </c>
      <c r="D410" s="5">
        <f>B410*C410</f>
        <v>3001.6391750588114</v>
      </c>
      <c r="E410" s="7">
        <f t="shared" ref="E410:E415" si="116">D410/12</f>
        <v>250.13659792156761</v>
      </c>
    </row>
    <row r="411" spans="1:5" ht="24" customHeight="1" thickBot="1" x14ac:dyDescent="0.3">
      <c r="A411" s="4" t="s">
        <v>237</v>
      </c>
      <c r="B411" s="6">
        <f t="shared" si="115"/>
        <v>170.70077766017022</v>
      </c>
      <c r="C411" s="56">
        <f>C395</f>
        <v>20.143450000000005</v>
      </c>
      <c r="D411" s="6">
        <f t="shared" ref="D411:D415" si="117">B411*C411</f>
        <v>3438.5025797587568</v>
      </c>
      <c r="E411" s="8">
        <f t="shared" si="116"/>
        <v>286.54188164656307</v>
      </c>
    </row>
    <row r="412" spans="1:5" ht="24" customHeight="1" x14ac:dyDescent="0.25">
      <c r="A412" s="3" t="s">
        <v>259</v>
      </c>
      <c r="B412" s="5">
        <f t="shared" si="115"/>
        <v>0</v>
      </c>
      <c r="C412" s="58">
        <f>B395</f>
        <v>20.143450000000005</v>
      </c>
      <c r="D412" s="5">
        <f>B412*C412</f>
        <v>0</v>
      </c>
      <c r="E412" s="7">
        <f t="shared" ref="E412:E413" si="118">D412/12</f>
        <v>0</v>
      </c>
    </row>
    <row r="413" spans="1:5" ht="24" customHeight="1" thickBot="1" x14ac:dyDescent="0.3">
      <c r="A413" s="2" t="s">
        <v>349</v>
      </c>
      <c r="B413" s="6">
        <f t="shared" si="115"/>
        <v>0</v>
      </c>
      <c r="C413" s="56">
        <f>C395</f>
        <v>20.143450000000005</v>
      </c>
      <c r="D413" s="6">
        <f t="shared" ref="D413" si="119">B413*C413</f>
        <v>0</v>
      </c>
      <c r="E413" s="8">
        <f t="shared" si="118"/>
        <v>0</v>
      </c>
    </row>
    <row r="414" spans="1:5" ht="24" customHeight="1" x14ac:dyDescent="0.25">
      <c r="A414" s="3" t="s">
        <v>235</v>
      </c>
      <c r="B414" s="5">
        <f t="shared" si="115"/>
        <v>160.86317338596072</v>
      </c>
      <c r="C414" s="58">
        <f>B395</f>
        <v>20.143450000000005</v>
      </c>
      <c r="D414" s="5">
        <f t="shared" si="117"/>
        <v>3240.3392899414312</v>
      </c>
      <c r="E414" s="7">
        <f t="shared" si="116"/>
        <v>270.02827416178593</v>
      </c>
    </row>
    <row r="415" spans="1:5" ht="24" customHeight="1" thickBot="1" x14ac:dyDescent="0.3">
      <c r="A415" s="2" t="s">
        <v>236</v>
      </c>
      <c r="B415" s="65">
        <f t="shared" si="115"/>
        <v>182.55078919655645</v>
      </c>
      <c r="C415" s="57">
        <f>C395</f>
        <v>20.143450000000005</v>
      </c>
      <c r="D415" s="65">
        <f t="shared" si="117"/>
        <v>3677.2026946413757</v>
      </c>
      <c r="E415" s="67">
        <f t="shared" si="116"/>
        <v>306.43355788678133</v>
      </c>
    </row>
    <row r="417" spans="1:8" ht="24" customHeight="1" x14ac:dyDescent="0.25">
      <c r="A417" s="352" t="s">
        <v>102</v>
      </c>
      <c r="B417" s="353"/>
      <c r="C417" s="353"/>
      <c r="D417" s="353"/>
      <c r="E417" s="353"/>
      <c r="F417" s="353"/>
      <c r="G417" s="353"/>
      <c r="H417" s="353"/>
    </row>
    <row r="418" spans="1:8" ht="24" customHeight="1" thickBot="1" x14ac:dyDescent="0.3"/>
    <row r="419" spans="1:8" ht="24" customHeight="1" thickBot="1" x14ac:dyDescent="0.3">
      <c r="A419" s="349" t="s">
        <v>104</v>
      </c>
      <c r="B419" s="350"/>
      <c r="C419" s="350"/>
      <c r="D419" s="351"/>
    </row>
    <row r="420" spans="1:8" ht="24" customHeight="1" thickBot="1" x14ac:dyDescent="0.3">
      <c r="A420" s="12" t="s">
        <v>3</v>
      </c>
      <c r="B420" s="13" t="s">
        <v>1</v>
      </c>
      <c r="C420" s="13" t="s">
        <v>103</v>
      </c>
      <c r="D420" s="14" t="s">
        <v>4</v>
      </c>
    </row>
    <row r="421" spans="1:8" ht="24" customHeight="1" x14ac:dyDescent="0.25">
      <c r="A421" s="3" t="s">
        <v>234</v>
      </c>
      <c r="B421" s="5">
        <f>H70+E254+E354</f>
        <v>4470.3948554872341</v>
      </c>
      <c r="C421" s="68">
        <v>220</v>
      </c>
      <c r="D421" s="7">
        <f>B421/C421</f>
        <v>20.319976615851065</v>
      </c>
    </row>
    <row r="422" spans="1:8" ht="24" customHeight="1" thickBot="1" x14ac:dyDescent="0.3">
      <c r="A422" s="2" t="s">
        <v>237</v>
      </c>
      <c r="B422" s="65">
        <f>H71+E255+E355</f>
        <v>5121.0233298051062</v>
      </c>
      <c r="C422" s="69">
        <f>C421</f>
        <v>220</v>
      </c>
      <c r="D422" s="67">
        <f t="shared" ref="D422" si="120">B422/C422</f>
        <v>23.277378771841391</v>
      </c>
    </row>
    <row r="423" spans="1:8" ht="24" customHeight="1" thickBot="1" x14ac:dyDescent="0.3"/>
    <row r="424" spans="1:8" ht="24" customHeight="1" thickBot="1" x14ac:dyDescent="0.3">
      <c r="A424" s="355" t="s">
        <v>102</v>
      </c>
      <c r="B424" s="356"/>
      <c r="C424" s="356"/>
      <c r="D424" s="357"/>
    </row>
    <row r="425" spans="1:8" ht="32.25" customHeight="1" thickBot="1" x14ac:dyDescent="0.3">
      <c r="A425" s="34" t="s">
        <v>3</v>
      </c>
      <c r="B425" s="35" t="s">
        <v>105</v>
      </c>
      <c r="C425" s="54" t="s">
        <v>106</v>
      </c>
      <c r="D425" s="36" t="s">
        <v>4</v>
      </c>
    </row>
    <row r="426" spans="1:8" ht="24" customHeight="1" x14ac:dyDescent="0.25">
      <c r="A426" s="3" t="s">
        <v>234</v>
      </c>
      <c r="B426" s="5">
        <f>D421</f>
        <v>20.319976615851065</v>
      </c>
      <c r="C426" s="68">
        <v>15</v>
      </c>
      <c r="D426" s="7">
        <f>B426*C426</f>
        <v>304.79964923776595</v>
      </c>
    </row>
    <row r="427" spans="1:8" ht="24" customHeight="1" thickBot="1" x14ac:dyDescent="0.3">
      <c r="A427" s="2" t="s">
        <v>237</v>
      </c>
      <c r="B427" s="65">
        <f>D422</f>
        <v>23.277378771841391</v>
      </c>
      <c r="C427" s="69">
        <v>15</v>
      </c>
      <c r="D427" s="67">
        <f t="shared" ref="D427" si="121">B427*C427</f>
        <v>349.16068157762089</v>
      </c>
    </row>
    <row r="429" spans="1:8" ht="24" customHeight="1" x14ac:dyDescent="0.25">
      <c r="A429" s="347" t="s">
        <v>72</v>
      </c>
      <c r="B429" s="347"/>
      <c r="C429" s="347"/>
      <c r="D429" s="347"/>
      <c r="E429" s="347"/>
      <c r="F429" s="347"/>
      <c r="G429" s="347"/>
      <c r="H429" s="347"/>
    </row>
    <row r="430" spans="1:8" ht="24" customHeight="1" thickBot="1" x14ac:dyDescent="0.3"/>
    <row r="431" spans="1:8" ht="24" customHeight="1" thickBot="1" x14ac:dyDescent="0.3">
      <c r="A431" s="349" t="s">
        <v>72</v>
      </c>
      <c r="B431" s="350"/>
      <c r="C431" s="350"/>
      <c r="D431" s="351"/>
    </row>
    <row r="432" spans="1:8" ht="24" customHeight="1" thickBot="1" x14ac:dyDescent="0.3">
      <c r="A432" s="12" t="s">
        <v>3</v>
      </c>
      <c r="B432" s="13" t="s">
        <v>107</v>
      </c>
      <c r="C432" s="13" t="s">
        <v>108</v>
      </c>
      <c r="D432" s="14" t="s">
        <v>12</v>
      </c>
    </row>
    <row r="433" spans="1:8" ht="24" customHeight="1" x14ac:dyDescent="0.25">
      <c r="A433" s="3" t="s">
        <v>234</v>
      </c>
      <c r="B433" s="5">
        <f t="shared" ref="B433:B438" si="122">E410</f>
        <v>250.13659792156761</v>
      </c>
      <c r="C433" s="5">
        <f>D426</f>
        <v>304.79964923776595</v>
      </c>
      <c r="D433" s="7">
        <f>B433+C433</f>
        <v>554.93624715933356</v>
      </c>
    </row>
    <row r="434" spans="1:8" ht="24" customHeight="1" thickBot="1" x14ac:dyDescent="0.3">
      <c r="A434" s="73" t="s">
        <v>237</v>
      </c>
      <c r="B434" s="74">
        <f t="shared" si="122"/>
        <v>286.54188164656307</v>
      </c>
      <c r="C434" s="74">
        <f>D427</f>
        <v>349.16068157762089</v>
      </c>
      <c r="D434" s="78">
        <f t="shared" ref="D434:D438" si="123">B434+C434</f>
        <v>635.7025632241839</v>
      </c>
    </row>
    <row r="435" spans="1:8" ht="24" customHeight="1" x14ac:dyDescent="0.25">
      <c r="A435" s="3" t="s">
        <v>259</v>
      </c>
      <c r="B435" s="5">
        <f t="shared" si="122"/>
        <v>0</v>
      </c>
      <c r="C435" s="5">
        <v>0</v>
      </c>
      <c r="D435" s="7">
        <f>B435+C435</f>
        <v>0</v>
      </c>
    </row>
    <row r="436" spans="1:8" ht="24" customHeight="1" thickBot="1" x14ac:dyDescent="0.3">
      <c r="A436" s="2" t="s">
        <v>349</v>
      </c>
      <c r="B436" s="74">
        <f t="shared" si="122"/>
        <v>0</v>
      </c>
      <c r="C436" s="74">
        <v>0</v>
      </c>
      <c r="D436" s="78">
        <f t="shared" ref="D436" si="124">B436+C436</f>
        <v>0</v>
      </c>
    </row>
    <row r="437" spans="1:8" ht="24" customHeight="1" x14ac:dyDescent="0.25">
      <c r="A437" s="3" t="s">
        <v>235</v>
      </c>
      <c r="B437" s="5">
        <f t="shared" si="122"/>
        <v>270.02827416178593</v>
      </c>
      <c r="C437" s="5">
        <v>0</v>
      </c>
      <c r="D437" s="7">
        <f t="shared" si="123"/>
        <v>270.02827416178593</v>
      </c>
    </row>
    <row r="438" spans="1:8" ht="24" customHeight="1" thickBot="1" x14ac:dyDescent="0.3">
      <c r="A438" s="2" t="s">
        <v>236</v>
      </c>
      <c r="B438" s="65">
        <f t="shared" si="122"/>
        <v>306.43355788678133</v>
      </c>
      <c r="C438" s="65">
        <v>0</v>
      </c>
      <c r="D438" s="67">
        <f t="shared" si="123"/>
        <v>306.43355788678133</v>
      </c>
    </row>
    <row r="440" spans="1:8" ht="24" customHeight="1" x14ac:dyDescent="0.25">
      <c r="A440" s="347" t="s">
        <v>109</v>
      </c>
      <c r="B440" s="347"/>
      <c r="C440" s="347"/>
      <c r="D440" s="347"/>
      <c r="E440" s="347"/>
      <c r="F440" s="347"/>
      <c r="G440" s="347"/>
      <c r="H440" s="347"/>
    </row>
    <row r="441" spans="1:8" ht="24" customHeight="1" thickBot="1" x14ac:dyDescent="0.3">
      <c r="A441" s="90"/>
      <c r="B441" s="90"/>
      <c r="C441" s="90"/>
      <c r="E441" s="90"/>
    </row>
    <row r="442" spans="1:8" ht="24" customHeight="1" thickBot="1" x14ac:dyDescent="0.3">
      <c r="A442" s="381" t="s">
        <v>143</v>
      </c>
      <c r="B442" s="382"/>
      <c r="C442" s="382"/>
      <c r="D442" s="383"/>
      <c r="E442" s="99"/>
    </row>
    <row r="443" spans="1:8" ht="24" customHeight="1" thickBot="1" x14ac:dyDescent="0.3">
      <c r="A443" s="230" t="s">
        <v>144</v>
      </c>
      <c r="B443" s="231" t="s">
        <v>300</v>
      </c>
      <c r="C443" s="231" t="s">
        <v>146</v>
      </c>
      <c r="D443" s="232" t="s">
        <v>301</v>
      </c>
    </row>
    <row r="444" spans="1:8" ht="24" customHeight="1" x14ac:dyDescent="0.25">
      <c r="A444" s="3" t="str">
        <f>Uniformes!B5</f>
        <v>Calça</v>
      </c>
      <c r="B444" s="233">
        <f>Uniformes!D5</f>
        <v>4</v>
      </c>
      <c r="C444" s="111">
        <f>Uniformes!E5</f>
        <v>133.25</v>
      </c>
      <c r="D444" s="111">
        <f>B444*C444</f>
        <v>533</v>
      </c>
    </row>
    <row r="445" spans="1:8" ht="24" customHeight="1" x14ac:dyDescent="0.25">
      <c r="A445" s="1" t="str">
        <f>Uniformes!B6</f>
        <v>Camisa</v>
      </c>
      <c r="B445" s="262">
        <f>Uniformes!D6</f>
        <v>4</v>
      </c>
      <c r="C445" s="263">
        <f>Uniformes!E6</f>
        <v>150.79</v>
      </c>
      <c r="D445" s="263">
        <f>B445*C445</f>
        <v>603.16</v>
      </c>
    </row>
    <row r="446" spans="1:8" ht="24" customHeight="1" x14ac:dyDescent="0.25">
      <c r="A446" s="1" t="str">
        <f>Uniformes!B7</f>
        <v>Coturno</v>
      </c>
      <c r="B446" s="262">
        <f>Uniformes!D7</f>
        <v>2</v>
      </c>
      <c r="C446" s="263">
        <f>Uniformes!E7</f>
        <v>306.23</v>
      </c>
      <c r="D446" s="263">
        <f t="shared" ref="D446:D453" si="125">B446*C446</f>
        <v>612.46</v>
      </c>
    </row>
    <row r="447" spans="1:8" ht="24" customHeight="1" x14ac:dyDescent="0.25">
      <c r="A447" s="1" t="str">
        <f>Uniformes!B8</f>
        <v>Boné</v>
      </c>
      <c r="B447" s="262">
        <f>Uniformes!D8</f>
        <v>2</v>
      </c>
      <c r="C447" s="263">
        <f>Uniformes!E8</f>
        <v>41.33</v>
      </c>
      <c r="D447" s="263">
        <f t="shared" si="125"/>
        <v>82.66</v>
      </c>
    </row>
    <row r="448" spans="1:8" ht="24" customHeight="1" x14ac:dyDescent="0.25">
      <c r="A448" s="1" t="str">
        <f>Uniformes!B9</f>
        <v>Cinto de Nylon</v>
      </c>
      <c r="B448" s="262">
        <f>Uniformes!D9</f>
        <v>4</v>
      </c>
      <c r="C448" s="263">
        <f>Uniformes!E9</f>
        <v>38.049999999999997</v>
      </c>
      <c r="D448" s="263">
        <f t="shared" si="125"/>
        <v>152.19999999999999</v>
      </c>
    </row>
    <row r="449" spans="1:5" ht="24" customHeight="1" x14ac:dyDescent="0.25">
      <c r="A449" s="1" t="str">
        <f>Uniformes!B10</f>
        <v>Jaqueta</v>
      </c>
      <c r="B449" s="262">
        <f>Uniformes!D10</f>
        <v>2</v>
      </c>
      <c r="C449" s="263">
        <f>Uniformes!E10</f>
        <v>259.7</v>
      </c>
      <c r="D449" s="263">
        <f t="shared" si="125"/>
        <v>519.4</v>
      </c>
    </row>
    <row r="450" spans="1:5" ht="24" customHeight="1" x14ac:dyDescent="0.25">
      <c r="A450" s="1" t="str">
        <f>Uniformes!B11</f>
        <v>Meia</v>
      </c>
      <c r="B450" s="262">
        <f>Uniformes!D11</f>
        <v>4</v>
      </c>
      <c r="C450" s="263">
        <f>Uniformes!E11</f>
        <v>2</v>
      </c>
      <c r="D450" s="263">
        <f t="shared" si="125"/>
        <v>8</v>
      </c>
    </row>
    <row r="451" spans="1:5" ht="24" customHeight="1" x14ac:dyDescent="0.25">
      <c r="A451" s="1" t="str">
        <f>Uniformes!B12</f>
        <v>Crachá</v>
      </c>
      <c r="B451" s="262">
        <f>Uniformes!D12</f>
        <v>2</v>
      </c>
      <c r="C451" s="263">
        <f>Uniformes!E12</f>
        <v>9.56</v>
      </c>
      <c r="D451" s="263">
        <f t="shared" si="125"/>
        <v>19.12</v>
      </c>
    </row>
    <row r="452" spans="1:5" ht="24" customHeight="1" x14ac:dyDescent="0.25">
      <c r="A452" s="1" t="str">
        <f>Uniformes!B13</f>
        <v>Capa de Chuva</v>
      </c>
      <c r="B452" s="262">
        <f>Uniformes!D13</f>
        <v>2</v>
      </c>
      <c r="C452" s="263">
        <f>Uniformes!E13</f>
        <v>28.38</v>
      </c>
      <c r="D452" s="263">
        <f t="shared" si="125"/>
        <v>56.76</v>
      </c>
    </row>
    <row r="453" spans="1:5" ht="24" customHeight="1" thickBot="1" x14ac:dyDescent="0.3">
      <c r="A453" s="1" t="str">
        <f>Uniformes!B14</f>
        <v>Capa de Colete</v>
      </c>
      <c r="B453" s="262">
        <f>Uniformes!D14</f>
        <v>2</v>
      </c>
      <c r="C453" s="263">
        <f>Uniformes!E14</f>
        <v>243.62</v>
      </c>
      <c r="D453" s="263">
        <f t="shared" si="125"/>
        <v>487.24</v>
      </c>
    </row>
    <row r="454" spans="1:5" ht="24" customHeight="1" thickBot="1" x14ac:dyDescent="0.3">
      <c r="A454" s="384" t="s">
        <v>149</v>
      </c>
      <c r="B454" s="385"/>
      <c r="C454" s="385"/>
      <c r="D454" s="234">
        <f>SUM(D444:D453)</f>
        <v>3074</v>
      </c>
    </row>
    <row r="455" spans="1:5" ht="24" customHeight="1" thickBot="1" x14ac:dyDescent="0.3">
      <c r="B455" s="100"/>
      <c r="C455" s="100"/>
      <c r="D455" s="100"/>
      <c r="E455" s="101"/>
    </row>
    <row r="456" spans="1:5" ht="24" customHeight="1" thickBot="1" x14ac:dyDescent="0.3">
      <c r="A456" s="381" t="s">
        <v>150</v>
      </c>
      <c r="B456" s="382"/>
      <c r="C456" s="383"/>
      <c r="D456" s="102"/>
      <c r="E456" s="102"/>
    </row>
    <row r="457" spans="1:5" ht="24" customHeight="1" thickBot="1" x14ac:dyDescent="0.3">
      <c r="A457" s="103" t="s">
        <v>3</v>
      </c>
      <c r="B457" s="104" t="s">
        <v>99</v>
      </c>
      <c r="C457" s="105" t="s">
        <v>151</v>
      </c>
      <c r="D457" s="102"/>
      <c r="E457" s="102"/>
    </row>
    <row r="458" spans="1:5" ht="24" customHeight="1" x14ac:dyDescent="0.25">
      <c r="A458" s="3" t="s">
        <v>234</v>
      </c>
      <c r="B458" s="306">
        <f>D454</f>
        <v>3074</v>
      </c>
      <c r="C458" s="307">
        <f t="shared" ref="C458:C463" si="126">(B458/12)</f>
        <v>256.16666666666669</v>
      </c>
      <c r="D458" s="100"/>
    </row>
    <row r="459" spans="1:5" ht="24" customHeight="1" thickBot="1" x14ac:dyDescent="0.3">
      <c r="A459" s="2" t="s">
        <v>237</v>
      </c>
      <c r="B459" s="308">
        <f>D454</f>
        <v>3074</v>
      </c>
      <c r="C459" s="309">
        <f t="shared" si="126"/>
        <v>256.16666666666669</v>
      </c>
      <c r="D459" s="100"/>
    </row>
    <row r="460" spans="1:5" ht="24" customHeight="1" x14ac:dyDescent="0.25">
      <c r="A460" s="3" t="s">
        <v>259</v>
      </c>
      <c r="B460" s="306">
        <v>0</v>
      </c>
      <c r="C460" s="307">
        <f t="shared" si="126"/>
        <v>0</v>
      </c>
      <c r="D460" s="100"/>
    </row>
    <row r="461" spans="1:5" ht="24" customHeight="1" thickBot="1" x14ac:dyDescent="0.3">
      <c r="A461" s="2" t="s">
        <v>349</v>
      </c>
      <c r="B461" s="308">
        <v>0</v>
      </c>
      <c r="C461" s="309">
        <f t="shared" si="126"/>
        <v>0</v>
      </c>
      <c r="D461" s="100"/>
    </row>
    <row r="462" spans="1:5" ht="24" customHeight="1" x14ac:dyDescent="0.25">
      <c r="A462" s="3" t="s">
        <v>235</v>
      </c>
      <c r="B462" s="306">
        <f>D454</f>
        <v>3074</v>
      </c>
      <c r="C462" s="307">
        <f t="shared" si="126"/>
        <v>256.16666666666669</v>
      </c>
      <c r="D462" s="100"/>
    </row>
    <row r="463" spans="1:5" ht="24" customHeight="1" thickBot="1" x14ac:dyDescent="0.3">
      <c r="A463" s="2" t="s">
        <v>236</v>
      </c>
      <c r="B463" s="308">
        <f>D454</f>
        <v>3074</v>
      </c>
      <c r="C463" s="309">
        <f t="shared" si="126"/>
        <v>256.16666666666669</v>
      </c>
      <c r="D463" s="100"/>
    </row>
    <row r="464" spans="1:5" ht="24" customHeight="1" thickBot="1" x14ac:dyDescent="0.3">
      <c r="B464" s="100"/>
      <c r="C464" s="100"/>
      <c r="D464" s="100"/>
    </row>
    <row r="465" spans="1:4" ht="24" customHeight="1" thickBot="1" x14ac:dyDescent="0.3">
      <c r="A465" s="381" t="s">
        <v>302</v>
      </c>
      <c r="B465" s="382"/>
      <c r="C465" s="382"/>
      <c r="D465" s="383"/>
    </row>
    <row r="466" spans="1:4" ht="24" customHeight="1" thickBot="1" x14ac:dyDescent="0.3">
      <c r="A466" s="230" t="s">
        <v>144</v>
      </c>
      <c r="B466" s="231" t="s">
        <v>300</v>
      </c>
      <c r="C466" s="231" t="s">
        <v>146</v>
      </c>
      <c r="D466" s="232" t="s">
        <v>301</v>
      </c>
    </row>
    <row r="467" spans="1:4" ht="24" customHeight="1" x14ac:dyDescent="0.25">
      <c r="A467" s="3" t="str">
        <f>Materiais!B5</f>
        <v>Cinto de Guarnição</v>
      </c>
      <c r="B467" s="233">
        <f>Materiais!D5</f>
        <v>1</v>
      </c>
      <c r="C467" s="111">
        <f>Materiais!E5</f>
        <v>107.76</v>
      </c>
      <c r="D467" s="111">
        <f>B467*C467</f>
        <v>107.76</v>
      </c>
    </row>
    <row r="468" spans="1:4" ht="24" customHeight="1" x14ac:dyDescent="0.25">
      <c r="A468" s="1" t="str">
        <f>Materiais!B6</f>
        <v>Livro de Ocorrência</v>
      </c>
      <c r="B468" s="262">
        <f>Materiais!D6</f>
        <v>2</v>
      </c>
      <c r="C468" s="263">
        <f>Materiais!E6</f>
        <v>34.380000000000003</v>
      </c>
      <c r="D468" s="263">
        <f>B468*C468</f>
        <v>68.760000000000005</v>
      </c>
    </row>
    <row r="469" spans="1:4" ht="24" customHeight="1" x14ac:dyDescent="0.25">
      <c r="A469" s="1" t="str">
        <f>Materiais!B7</f>
        <v>Cassetete</v>
      </c>
      <c r="B469" s="262">
        <f>Materiais!D7</f>
        <v>1</v>
      </c>
      <c r="C469" s="263">
        <f>Materiais!E7</f>
        <v>42.63</v>
      </c>
      <c r="D469" s="263">
        <f t="shared" ref="D469:D476" si="127">B469*C469</f>
        <v>42.63</v>
      </c>
    </row>
    <row r="470" spans="1:4" ht="24" customHeight="1" x14ac:dyDescent="0.25">
      <c r="A470" s="1" t="str">
        <f>Materiais!B8</f>
        <v>Porta cassetete</v>
      </c>
      <c r="B470" s="262">
        <f>Materiais!D8</f>
        <v>1</v>
      </c>
      <c r="C470" s="263">
        <f>Materiais!E8</f>
        <v>26.61</v>
      </c>
      <c r="D470" s="263">
        <f t="shared" si="127"/>
        <v>26.61</v>
      </c>
    </row>
    <row r="471" spans="1:4" ht="24" customHeight="1" x14ac:dyDescent="0.25">
      <c r="A471" s="1" t="str">
        <f>Materiais!B9</f>
        <v>Apito com Cordão</v>
      </c>
      <c r="B471" s="262">
        <f>Materiais!D9</f>
        <v>4</v>
      </c>
      <c r="C471" s="263">
        <f>Materiais!E9</f>
        <v>9.6300000000000008</v>
      </c>
      <c r="D471" s="263">
        <f t="shared" si="127"/>
        <v>38.520000000000003</v>
      </c>
    </row>
    <row r="472" spans="1:4" ht="24" customHeight="1" x14ac:dyDescent="0.25">
      <c r="A472" s="1" t="str">
        <f>Materiais!B10</f>
        <v>Lanterna Com Bateria sobressalente</v>
      </c>
      <c r="B472" s="262">
        <f>Materiais!D10</f>
        <v>1</v>
      </c>
      <c r="C472" s="263">
        <f>Materiais!E10</f>
        <v>73.86</v>
      </c>
      <c r="D472" s="263">
        <f t="shared" si="127"/>
        <v>73.86</v>
      </c>
    </row>
    <row r="473" spans="1:4" ht="24" customHeight="1" x14ac:dyDescent="0.25">
      <c r="A473" s="1" t="str">
        <f>Materiais!B11</f>
        <v>Munição</v>
      </c>
      <c r="B473" s="262">
        <f>Materiais!D11</f>
        <v>12</v>
      </c>
      <c r="C473" s="263">
        <f>Materiais!E11</f>
        <v>8.91</v>
      </c>
      <c r="D473" s="263">
        <f t="shared" si="127"/>
        <v>106.92</v>
      </c>
    </row>
    <row r="474" spans="1:4" ht="24" customHeight="1" x14ac:dyDescent="0.25">
      <c r="A474" s="1" t="str">
        <f>Materiais!B12</f>
        <v>Bastão de Ronda Eletrônica</v>
      </c>
      <c r="B474" s="262">
        <f>Materiais!D12</f>
        <v>1</v>
      </c>
      <c r="C474" s="263">
        <f>Materiais!E12</f>
        <v>684.98</v>
      </c>
      <c r="D474" s="263">
        <f t="shared" si="127"/>
        <v>684.98</v>
      </c>
    </row>
    <row r="475" spans="1:4" ht="24" customHeight="1" x14ac:dyDescent="0.25">
      <c r="A475" s="1" t="str">
        <f>Materiais!B13</f>
        <v>Prancheta</v>
      </c>
      <c r="B475" s="262">
        <f>Materiais!D13</f>
        <v>1</v>
      </c>
      <c r="C475" s="263">
        <f>Materiais!E13</f>
        <v>6.12</v>
      </c>
      <c r="D475" s="263">
        <f t="shared" si="127"/>
        <v>6.12</v>
      </c>
    </row>
    <row r="476" spans="1:4" ht="24" customHeight="1" thickBot="1" x14ac:dyDescent="0.3">
      <c r="A476" s="1" t="str">
        <f>Materiais!B14</f>
        <v>Caneta</v>
      </c>
      <c r="B476" s="262">
        <f>Materiais!D14</f>
        <v>1</v>
      </c>
      <c r="C476" s="263">
        <f>Materiais!E14</f>
        <v>1.51</v>
      </c>
      <c r="D476" s="263">
        <f t="shared" si="127"/>
        <v>1.51</v>
      </c>
    </row>
    <row r="477" spans="1:4" ht="24" customHeight="1" thickBot="1" x14ac:dyDescent="0.3">
      <c r="A477" s="384" t="s">
        <v>313</v>
      </c>
      <c r="B477" s="385"/>
      <c r="C477" s="385"/>
      <c r="D477" s="234">
        <f>SUM(D467:D476)/2</f>
        <v>578.83499999999992</v>
      </c>
    </row>
    <row r="478" spans="1:4" ht="24" customHeight="1" thickBot="1" x14ac:dyDescent="0.3">
      <c r="B478" s="100"/>
      <c r="C478" s="100"/>
      <c r="D478" s="100"/>
    </row>
    <row r="479" spans="1:4" ht="24" customHeight="1" thickBot="1" x14ac:dyDescent="0.3">
      <c r="A479" s="381" t="s">
        <v>324</v>
      </c>
      <c r="B479" s="382"/>
      <c r="C479" s="383"/>
      <c r="D479" s="100"/>
    </row>
    <row r="480" spans="1:4" ht="24" customHeight="1" thickBot="1" x14ac:dyDescent="0.3">
      <c r="A480" s="103" t="s">
        <v>3</v>
      </c>
      <c r="B480" s="104" t="s">
        <v>99</v>
      </c>
      <c r="C480" s="105" t="s">
        <v>151</v>
      </c>
      <c r="D480" s="100"/>
    </row>
    <row r="481" spans="1:11" ht="24" customHeight="1" x14ac:dyDescent="0.25">
      <c r="A481" s="3" t="s">
        <v>234</v>
      </c>
      <c r="B481" s="306">
        <f>D477</f>
        <v>578.83499999999992</v>
      </c>
      <c r="C481" s="307">
        <f t="shared" ref="C481:C486" si="128">(B481/12)</f>
        <v>48.236249999999991</v>
      </c>
      <c r="D481" s="100"/>
    </row>
    <row r="482" spans="1:11" ht="24" customHeight="1" thickBot="1" x14ac:dyDescent="0.3">
      <c r="A482" s="2" t="s">
        <v>237</v>
      </c>
      <c r="B482" s="308">
        <f>D477</f>
        <v>578.83499999999992</v>
      </c>
      <c r="C482" s="309">
        <f t="shared" si="128"/>
        <v>48.236249999999991</v>
      </c>
      <c r="D482" s="100"/>
    </row>
    <row r="483" spans="1:11" ht="24" customHeight="1" x14ac:dyDescent="0.25">
      <c r="A483" s="3" t="s">
        <v>259</v>
      </c>
      <c r="B483" s="306">
        <v>0</v>
      </c>
      <c r="C483" s="307">
        <f t="shared" si="128"/>
        <v>0</v>
      </c>
      <c r="D483" s="100"/>
    </row>
    <row r="484" spans="1:11" ht="24" customHeight="1" thickBot="1" x14ac:dyDescent="0.3">
      <c r="A484" s="2" t="s">
        <v>349</v>
      </c>
      <c r="B484" s="308">
        <v>0</v>
      </c>
      <c r="C484" s="309">
        <f t="shared" si="128"/>
        <v>0</v>
      </c>
      <c r="D484" s="100"/>
    </row>
    <row r="485" spans="1:11" ht="24" customHeight="1" x14ac:dyDescent="0.25">
      <c r="A485" s="3" t="s">
        <v>235</v>
      </c>
      <c r="B485" s="306">
        <f>D477</f>
        <v>578.83499999999992</v>
      </c>
      <c r="C485" s="307">
        <f t="shared" si="128"/>
        <v>48.236249999999991</v>
      </c>
      <c r="D485" s="100"/>
    </row>
    <row r="486" spans="1:11" ht="24" customHeight="1" thickBot="1" x14ac:dyDescent="0.3">
      <c r="A486" s="2" t="s">
        <v>236</v>
      </c>
      <c r="B486" s="308">
        <f>D477</f>
        <v>578.83499999999992</v>
      </c>
      <c r="C486" s="309">
        <f t="shared" si="128"/>
        <v>48.236249999999991</v>
      </c>
      <c r="D486" s="100"/>
    </row>
    <row r="487" spans="1:11" ht="24" customHeight="1" thickBot="1" x14ac:dyDescent="0.3">
      <c r="B487" s="100"/>
      <c r="C487" s="100"/>
      <c r="D487" s="100"/>
    </row>
    <row r="488" spans="1:11" ht="24" customHeight="1" thickBot="1" x14ac:dyDescent="0.3">
      <c r="A488" s="386" t="s">
        <v>326</v>
      </c>
      <c r="B488" s="387"/>
      <c r="C488" s="387"/>
      <c r="D488" s="387"/>
      <c r="E488" s="388"/>
    </row>
    <row r="489" spans="1:11" ht="40.15" customHeight="1" thickBot="1" x14ac:dyDescent="0.3">
      <c r="A489" s="129" t="s">
        <v>152</v>
      </c>
      <c r="B489" s="130" t="s">
        <v>153</v>
      </c>
      <c r="C489" s="131" t="s">
        <v>145</v>
      </c>
      <c r="D489" s="131" t="s">
        <v>306</v>
      </c>
      <c r="E489" s="278" t="s">
        <v>325</v>
      </c>
    </row>
    <row r="490" spans="1:11" ht="24" customHeight="1" x14ac:dyDescent="0.25">
      <c r="A490" s="106" t="str">
        <f>Equipamentos!B5</f>
        <v>Revolver Calibre 38</v>
      </c>
      <c r="B490" s="122">
        <f>Equipamentos!E5</f>
        <v>6870.25</v>
      </c>
      <c r="C490" s="107">
        <f>Equipamentos!D5</f>
        <v>1</v>
      </c>
      <c r="D490" s="107">
        <f>Equipamentos!C5</f>
        <v>120</v>
      </c>
      <c r="E490" s="279">
        <f>Equipamentos!F5</f>
        <v>57.252083333333331</v>
      </c>
    </row>
    <row r="491" spans="1:11" ht="24" customHeight="1" x14ac:dyDescent="0.25">
      <c r="A491" s="108" t="str">
        <f>Equipamentos!B6</f>
        <v>Colete (Placa)</v>
      </c>
      <c r="B491" s="123">
        <f>Equipamentos!E6</f>
        <v>1686.72</v>
      </c>
      <c r="C491" s="109">
        <f>Equipamentos!D6</f>
        <v>1</v>
      </c>
      <c r="D491" s="107">
        <f>Equipamentos!C6</f>
        <v>60</v>
      </c>
      <c r="E491" s="280">
        <f>Equipamentos!F6</f>
        <v>28.112000000000002</v>
      </c>
    </row>
    <row r="492" spans="1:11" ht="24" customHeight="1" thickBot="1" x14ac:dyDescent="0.3">
      <c r="A492" s="108" t="str">
        <f>Equipamentos!B7</f>
        <v>Rádio Comunicador</v>
      </c>
      <c r="B492" s="123">
        <f>Equipamentos!E7</f>
        <v>2316.66</v>
      </c>
      <c r="C492" s="109">
        <f>Equipamentos!D7</f>
        <v>1</v>
      </c>
      <c r="D492" s="107">
        <f>Equipamentos!C7</f>
        <v>36</v>
      </c>
      <c r="E492" s="280">
        <f>Equipamentos!F7</f>
        <v>64.351666666666659</v>
      </c>
      <c r="F492" s="90"/>
      <c r="G492" s="90"/>
      <c r="H492" s="90"/>
      <c r="I492" s="90"/>
      <c r="J492" s="90"/>
      <c r="K492" s="90"/>
    </row>
    <row r="493" spans="1:11" ht="24" customHeight="1" thickBot="1" x14ac:dyDescent="0.3">
      <c r="A493" s="386" t="s">
        <v>154</v>
      </c>
      <c r="B493" s="387"/>
      <c r="C493" s="387"/>
      <c r="D493" s="388"/>
      <c r="E493" s="235">
        <f>SUM(E490:E492)</f>
        <v>149.71574999999999</v>
      </c>
    </row>
    <row r="494" spans="1:11" ht="24" customHeight="1" thickBot="1" x14ac:dyDescent="0.3">
      <c r="B494" s="100"/>
      <c r="C494" s="100"/>
      <c r="D494" s="100"/>
    </row>
    <row r="495" spans="1:11" ht="24" customHeight="1" thickBot="1" x14ac:dyDescent="0.3">
      <c r="A495" s="389" t="s">
        <v>155</v>
      </c>
      <c r="B495" s="390"/>
      <c r="C495" s="390"/>
      <c r="D495" s="391"/>
    </row>
    <row r="496" spans="1:11" ht="24" customHeight="1" thickBot="1" x14ac:dyDescent="0.3">
      <c r="A496" s="103" t="s">
        <v>3</v>
      </c>
      <c r="B496" s="104" t="s">
        <v>99</v>
      </c>
      <c r="C496" s="104" t="s">
        <v>100</v>
      </c>
      <c r="D496" s="194" t="s">
        <v>123</v>
      </c>
    </row>
    <row r="497" spans="1:5" ht="24" customHeight="1" x14ac:dyDescent="0.25">
      <c r="A497" s="3" t="s">
        <v>234</v>
      </c>
      <c r="B497" s="306">
        <f>E493*12</f>
        <v>1796.5889999999999</v>
      </c>
      <c r="C497" s="306">
        <f t="shared" ref="C497:C502" si="129">(B497/12)</f>
        <v>149.71574999999999</v>
      </c>
      <c r="D497" s="310">
        <f t="shared" ref="D497:D502" si="130">C497/2</f>
        <v>74.857874999999993</v>
      </c>
    </row>
    <row r="498" spans="1:5" ht="24" customHeight="1" thickBot="1" x14ac:dyDescent="0.3">
      <c r="A498" s="2" t="s">
        <v>237</v>
      </c>
      <c r="B498" s="308">
        <f>E493*12</f>
        <v>1796.5889999999999</v>
      </c>
      <c r="C498" s="308">
        <f t="shared" si="129"/>
        <v>149.71574999999999</v>
      </c>
      <c r="D498" s="311">
        <f t="shared" si="130"/>
        <v>74.857874999999993</v>
      </c>
    </row>
    <row r="499" spans="1:5" ht="24" customHeight="1" x14ac:dyDescent="0.25">
      <c r="A499" s="3" t="s">
        <v>259</v>
      </c>
      <c r="B499" s="306">
        <v>0</v>
      </c>
      <c r="C499" s="306">
        <f t="shared" si="129"/>
        <v>0</v>
      </c>
      <c r="D499" s="310">
        <f t="shared" si="130"/>
        <v>0</v>
      </c>
    </row>
    <row r="500" spans="1:5" ht="24" customHeight="1" thickBot="1" x14ac:dyDescent="0.3">
      <c r="A500" s="2" t="s">
        <v>349</v>
      </c>
      <c r="B500" s="308">
        <v>0</v>
      </c>
      <c r="C500" s="308">
        <f t="shared" si="129"/>
        <v>0</v>
      </c>
      <c r="D500" s="311">
        <f t="shared" si="130"/>
        <v>0</v>
      </c>
    </row>
    <row r="501" spans="1:5" ht="24" customHeight="1" x14ac:dyDescent="0.25">
      <c r="A501" s="3" t="s">
        <v>235</v>
      </c>
      <c r="B501" s="306">
        <f>E493*12</f>
        <v>1796.5889999999999</v>
      </c>
      <c r="C501" s="306">
        <f t="shared" si="129"/>
        <v>149.71574999999999</v>
      </c>
      <c r="D501" s="310">
        <f t="shared" si="130"/>
        <v>74.857874999999993</v>
      </c>
    </row>
    <row r="502" spans="1:5" ht="24" customHeight="1" thickBot="1" x14ac:dyDescent="0.3">
      <c r="A502" s="2" t="s">
        <v>236</v>
      </c>
      <c r="B502" s="308">
        <f>E493*12</f>
        <v>1796.5889999999999</v>
      </c>
      <c r="C502" s="308">
        <f t="shared" si="129"/>
        <v>149.71574999999999</v>
      </c>
      <c r="D502" s="311">
        <f t="shared" si="130"/>
        <v>74.857874999999993</v>
      </c>
    </row>
    <row r="503" spans="1:5" ht="24" customHeight="1" thickBot="1" x14ac:dyDescent="0.3"/>
    <row r="504" spans="1:5" ht="24" customHeight="1" thickBot="1" x14ac:dyDescent="0.3">
      <c r="A504" s="381" t="s">
        <v>109</v>
      </c>
      <c r="B504" s="382"/>
      <c r="C504" s="382"/>
      <c r="D504" s="382"/>
      <c r="E504" s="383"/>
    </row>
    <row r="505" spans="1:5" ht="48" thickBot="1" x14ac:dyDescent="0.3">
      <c r="A505" s="85" t="s">
        <v>3</v>
      </c>
      <c r="B505" s="110" t="s">
        <v>156</v>
      </c>
      <c r="C505" s="110" t="s">
        <v>303</v>
      </c>
      <c r="D505" s="110" t="s">
        <v>304</v>
      </c>
      <c r="E505" s="86" t="s">
        <v>4</v>
      </c>
    </row>
    <row r="506" spans="1:5" ht="24" customHeight="1" x14ac:dyDescent="0.25">
      <c r="A506" s="3" t="s">
        <v>234</v>
      </c>
      <c r="B506" s="111">
        <f t="shared" ref="B506:B511" si="131">C458</f>
        <v>256.16666666666669</v>
      </c>
      <c r="C506" s="111">
        <f t="shared" ref="C506:C511" si="132">C481</f>
        <v>48.236249999999991</v>
      </c>
      <c r="D506" s="111">
        <f>D497</f>
        <v>74.857874999999993</v>
      </c>
      <c r="E506" s="310">
        <f>SUM(B506:D506)</f>
        <v>379.26079166666665</v>
      </c>
    </row>
    <row r="507" spans="1:5" ht="24" customHeight="1" thickBot="1" x14ac:dyDescent="0.3">
      <c r="A507" s="4" t="s">
        <v>237</v>
      </c>
      <c r="B507" s="312">
        <f t="shared" si="131"/>
        <v>256.16666666666669</v>
      </c>
      <c r="C507" s="312">
        <f t="shared" si="132"/>
        <v>48.236249999999991</v>
      </c>
      <c r="D507" s="312">
        <f>D498</f>
        <v>74.857874999999993</v>
      </c>
      <c r="E507" s="311">
        <f t="shared" ref="E507:E511" si="133">SUM(B507:D507)</f>
        <v>379.26079166666665</v>
      </c>
    </row>
    <row r="508" spans="1:5" ht="24" customHeight="1" x14ac:dyDescent="0.25">
      <c r="A508" s="3" t="s">
        <v>259</v>
      </c>
      <c r="B508" s="111">
        <f t="shared" si="131"/>
        <v>0</v>
      </c>
      <c r="C508" s="111">
        <f t="shared" si="132"/>
        <v>0</v>
      </c>
      <c r="D508" s="111">
        <f t="shared" ref="D508:D511" si="134">D499</f>
        <v>0</v>
      </c>
      <c r="E508" s="310">
        <f t="shared" si="133"/>
        <v>0</v>
      </c>
    </row>
    <row r="509" spans="1:5" ht="24" customHeight="1" thickBot="1" x14ac:dyDescent="0.3">
      <c r="A509" s="2" t="s">
        <v>349</v>
      </c>
      <c r="B509" s="312">
        <f t="shared" si="131"/>
        <v>0</v>
      </c>
      <c r="C509" s="312">
        <f t="shared" si="132"/>
        <v>0</v>
      </c>
      <c r="D509" s="312">
        <f t="shared" si="134"/>
        <v>0</v>
      </c>
      <c r="E509" s="311">
        <f t="shared" si="133"/>
        <v>0</v>
      </c>
    </row>
    <row r="510" spans="1:5" ht="24" customHeight="1" x14ac:dyDescent="0.25">
      <c r="A510" s="3" t="s">
        <v>235</v>
      </c>
      <c r="B510" s="111">
        <f t="shared" si="131"/>
        <v>256.16666666666669</v>
      </c>
      <c r="C510" s="111">
        <f t="shared" si="132"/>
        <v>48.236249999999991</v>
      </c>
      <c r="D510" s="111">
        <f t="shared" si="134"/>
        <v>74.857874999999993</v>
      </c>
      <c r="E510" s="310">
        <f t="shared" si="133"/>
        <v>379.26079166666665</v>
      </c>
    </row>
    <row r="511" spans="1:5" ht="24" customHeight="1" thickBot="1" x14ac:dyDescent="0.3">
      <c r="A511" s="2" t="s">
        <v>236</v>
      </c>
      <c r="B511" s="313">
        <f t="shared" si="131"/>
        <v>256.16666666666669</v>
      </c>
      <c r="C511" s="313">
        <f t="shared" si="132"/>
        <v>48.236249999999991</v>
      </c>
      <c r="D511" s="313">
        <f t="shared" si="134"/>
        <v>74.857874999999993</v>
      </c>
      <c r="E511" s="311">
        <f t="shared" si="133"/>
        <v>379.26079166666665</v>
      </c>
    </row>
    <row r="513" spans="1:8" ht="24" customHeight="1" x14ac:dyDescent="0.25">
      <c r="A513" s="347" t="s">
        <v>110</v>
      </c>
      <c r="B513" s="347"/>
      <c r="C513" s="347"/>
      <c r="D513" s="347"/>
      <c r="E513" s="347"/>
      <c r="F513" s="347"/>
      <c r="G513" s="347"/>
      <c r="H513" s="347"/>
    </row>
    <row r="514" spans="1:8" ht="24" customHeight="1" thickBot="1" x14ac:dyDescent="0.3">
      <c r="A514" s="374"/>
      <c r="B514" s="374"/>
      <c r="C514" s="374"/>
      <c r="D514" s="374"/>
      <c r="E514" s="374"/>
      <c r="F514" s="374"/>
    </row>
    <row r="515" spans="1:8" ht="26.25" customHeight="1" x14ac:dyDescent="0.25">
      <c r="A515" s="368" t="s">
        <v>137</v>
      </c>
      <c r="B515" s="369"/>
      <c r="C515" s="92"/>
      <c r="D515" s="92"/>
      <c r="E515" s="92"/>
      <c r="F515" s="92"/>
    </row>
    <row r="516" spans="1:8" ht="24" customHeight="1" x14ac:dyDescent="0.25">
      <c r="A516" s="95" t="s">
        <v>138</v>
      </c>
      <c r="B516" s="326">
        <v>0.03</v>
      </c>
      <c r="C516" s="92"/>
      <c r="D516" s="92"/>
      <c r="E516" s="92"/>
      <c r="F516" s="92"/>
    </row>
    <row r="517" spans="1:8" ht="24" customHeight="1" x14ac:dyDescent="0.25">
      <c r="A517" s="95" t="s">
        <v>139</v>
      </c>
      <c r="B517" s="326">
        <v>8.6499999999999994E-2</v>
      </c>
      <c r="C517" s="92"/>
      <c r="D517" s="92"/>
      <c r="E517" s="92"/>
      <c r="F517" s="92"/>
    </row>
    <row r="518" spans="1:8" ht="24" customHeight="1" thickBot="1" x14ac:dyDescent="0.3">
      <c r="A518" s="96" t="s">
        <v>140</v>
      </c>
      <c r="B518" s="327">
        <v>3.2599999999999997E-2</v>
      </c>
      <c r="C518" s="92"/>
      <c r="D518" s="92"/>
      <c r="E518" s="92"/>
      <c r="F518" s="92"/>
    </row>
    <row r="519" spans="1:8" ht="24" customHeight="1" thickBot="1" x14ac:dyDescent="0.3"/>
    <row r="520" spans="1:8" ht="24" customHeight="1" thickBot="1" x14ac:dyDescent="0.3">
      <c r="A520" s="349" t="s">
        <v>110</v>
      </c>
      <c r="B520" s="350"/>
      <c r="C520" s="350"/>
      <c r="D520" s="351"/>
    </row>
    <row r="521" spans="1:8" ht="24" customHeight="1" thickBot="1" x14ac:dyDescent="0.3">
      <c r="A521" s="12" t="s">
        <v>3</v>
      </c>
      <c r="B521" s="13" t="s">
        <v>1</v>
      </c>
      <c r="C521" s="13" t="s">
        <v>2</v>
      </c>
      <c r="D521" s="14" t="s">
        <v>4</v>
      </c>
    </row>
    <row r="522" spans="1:8" ht="24" customHeight="1" x14ac:dyDescent="0.25">
      <c r="A522" s="3" t="s">
        <v>234</v>
      </c>
      <c r="B522" s="83">
        <f t="shared" ref="B522:B527" si="135">H70+E254+E354+D433+D506</f>
        <v>5100.1889776465669</v>
      </c>
      <c r="C522" s="97">
        <f t="shared" ref="C522:C527" si="136">((1+$B$516)/(1-$B$517-$B$518))-1</f>
        <v>0.16925871268021342</v>
      </c>
      <c r="D522" s="7">
        <f>B522*C522</f>
        <v>863.25142078227168</v>
      </c>
    </row>
    <row r="523" spans="1:8" ht="24" customHeight="1" thickBot="1" x14ac:dyDescent="0.3">
      <c r="A523" s="4" t="s">
        <v>237</v>
      </c>
      <c r="B523" s="84">
        <f t="shared" si="135"/>
        <v>5831.5837680292898</v>
      </c>
      <c r="C523" s="98">
        <f t="shared" si="136"/>
        <v>0.16925871268021342</v>
      </c>
      <c r="D523" s="8">
        <f t="shared" ref="D523:D527" si="137">B523*C523</f>
        <v>987.04636146346593</v>
      </c>
    </row>
    <row r="524" spans="1:8" ht="24" customHeight="1" x14ac:dyDescent="0.25">
      <c r="A524" s="3" t="s">
        <v>259</v>
      </c>
      <c r="B524" s="83">
        <f t="shared" si="135"/>
        <v>0</v>
      </c>
      <c r="C524" s="97">
        <f t="shared" si="136"/>
        <v>0.16925871268021342</v>
      </c>
      <c r="D524" s="7">
        <f>B524*C524</f>
        <v>0</v>
      </c>
    </row>
    <row r="525" spans="1:8" ht="24" customHeight="1" thickBot="1" x14ac:dyDescent="0.3">
      <c r="A525" s="2" t="s">
        <v>349</v>
      </c>
      <c r="B525" s="84">
        <f t="shared" si="135"/>
        <v>0</v>
      </c>
      <c r="C525" s="98">
        <f t="shared" si="136"/>
        <v>0.16925871268021342</v>
      </c>
      <c r="D525" s="8">
        <f t="shared" ref="D525" si="138">B525*C525</f>
        <v>0</v>
      </c>
    </row>
    <row r="526" spans="1:8" ht="24" customHeight="1" x14ac:dyDescent="0.25">
      <c r="A526" s="3" t="s">
        <v>235</v>
      </c>
      <c r="B526" s="83">
        <f t="shared" si="135"/>
        <v>5170.7813507406072</v>
      </c>
      <c r="C526" s="97">
        <f t="shared" si="136"/>
        <v>0.16925871268021342</v>
      </c>
      <c r="D526" s="7">
        <f t="shared" si="137"/>
        <v>875.19979497721033</v>
      </c>
    </row>
    <row r="527" spans="1:8" ht="24" customHeight="1" thickBot="1" x14ac:dyDescent="0.3">
      <c r="A527" s="2" t="s">
        <v>236</v>
      </c>
      <c r="B527" s="238">
        <f t="shared" si="135"/>
        <v>5857.8151087834749</v>
      </c>
      <c r="C527" s="239">
        <f t="shared" si="136"/>
        <v>0.16925871268021342</v>
      </c>
      <c r="D527" s="67">
        <f t="shared" si="137"/>
        <v>991.48624443139533</v>
      </c>
    </row>
    <row r="529" spans="1:8" ht="24" customHeight="1" x14ac:dyDescent="0.25">
      <c r="A529" s="347" t="s">
        <v>262</v>
      </c>
      <c r="B529" s="347"/>
      <c r="C529" s="347"/>
      <c r="D529" s="347"/>
      <c r="E529" s="347"/>
      <c r="F529" s="347"/>
      <c r="G529" s="347"/>
      <c r="H529" s="347"/>
    </row>
    <row r="530" spans="1:8" ht="24" customHeight="1" x14ac:dyDescent="0.25">
      <c r="A530" s="348" t="s">
        <v>225</v>
      </c>
      <c r="B530" s="348"/>
      <c r="C530" s="348"/>
      <c r="D530" s="348"/>
      <c r="E530" s="348"/>
      <c r="F530" s="348"/>
    </row>
    <row r="531" spans="1:8" ht="24" customHeight="1" thickBot="1" x14ac:dyDescent="0.3"/>
    <row r="532" spans="1:8" ht="24" customHeight="1" thickBot="1" x14ac:dyDescent="0.3">
      <c r="A532" s="341" t="s">
        <v>112</v>
      </c>
      <c r="B532" s="342"/>
      <c r="C532" s="342"/>
      <c r="D532" s="343"/>
    </row>
    <row r="533" spans="1:8" ht="24" customHeight="1" thickBot="1" x14ac:dyDescent="0.3">
      <c r="A533" s="37" t="s">
        <v>3</v>
      </c>
      <c r="B533" s="38" t="s">
        <v>1</v>
      </c>
      <c r="C533" s="38" t="s">
        <v>111</v>
      </c>
      <c r="D533" s="39" t="s">
        <v>4</v>
      </c>
    </row>
    <row r="534" spans="1:8" ht="24" customHeight="1" x14ac:dyDescent="0.25">
      <c r="A534" s="3" t="s">
        <v>235</v>
      </c>
      <c r="B534" s="5">
        <f>H74+E358+D437+D510+D526</f>
        <v>3820.3005706261506</v>
      </c>
      <c r="C534" s="68">
        <v>10</v>
      </c>
      <c r="D534" s="7">
        <f>B534/C534</f>
        <v>382.03005706261507</v>
      </c>
    </row>
    <row r="535" spans="1:8" ht="24" customHeight="1" thickBot="1" x14ac:dyDescent="0.3">
      <c r="A535" s="2" t="s">
        <v>236</v>
      </c>
      <c r="B535" s="65">
        <f>H75+E359+D438+D511+D527</f>
        <v>4368.5430145079254</v>
      </c>
      <c r="C535" s="69">
        <v>10</v>
      </c>
      <c r="D535" s="67">
        <f t="shared" ref="D535" si="139">B535/C535</f>
        <v>436.85430145079255</v>
      </c>
    </row>
    <row r="537" spans="1:8" ht="24" customHeight="1" x14ac:dyDescent="0.25">
      <c r="A537" s="347" t="s">
        <v>141</v>
      </c>
      <c r="B537" s="347"/>
      <c r="C537" s="347"/>
      <c r="D537" s="347"/>
      <c r="E537" s="347"/>
      <c r="F537" s="347"/>
      <c r="G537" s="347"/>
      <c r="H537" s="347"/>
    </row>
    <row r="538" spans="1:8" ht="24" customHeight="1" thickBot="1" x14ac:dyDescent="0.3"/>
    <row r="539" spans="1:8" ht="24" customHeight="1" thickBot="1" x14ac:dyDescent="0.3">
      <c r="A539" s="341" t="s">
        <v>142</v>
      </c>
      <c r="B539" s="342"/>
      <c r="C539" s="342"/>
      <c r="D539" s="342"/>
      <c r="E539" s="343"/>
    </row>
    <row r="540" spans="1:8" ht="24" customHeight="1" thickBot="1" x14ac:dyDescent="0.3">
      <c r="A540" s="236"/>
      <c r="B540" s="342" t="s">
        <v>260</v>
      </c>
      <c r="C540" s="343"/>
      <c r="D540" s="342" t="s">
        <v>261</v>
      </c>
      <c r="E540" s="343"/>
    </row>
    <row r="541" spans="1:8" ht="24" customHeight="1" thickBot="1" x14ac:dyDescent="0.3">
      <c r="A541" s="153" t="s">
        <v>113</v>
      </c>
      <c r="B541" s="35" t="s">
        <v>114</v>
      </c>
      <c r="C541" s="36" t="s">
        <v>115</v>
      </c>
      <c r="D541" s="35" t="s">
        <v>114</v>
      </c>
      <c r="E541" s="36" t="s">
        <v>115</v>
      </c>
    </row>
    <row r="542" spans="1:8" ht="24" customHeight="1" x14ac:dyDescent="0.25">
      <c r="A542" s="40" t="s">
        <v>116</v>
      </c>
      <c r="B542" s="5">
        <f>H70</f>
        <v>2284.8468499999999</v>
      </c>
      <c r="C542" s="5">
        <f>H71</f>
        <v>2665.6546583333334</v>
      </c>
      <c r="D542" s="5">
        <f>H72</f>
        <v>0</v>
      </c>
      <c r="E542" s="63">
        <f>H73</f>
        <v>0</v>
      </c>
    </row>
    <row r="543" spans="1:8" ht="24" customHeight="1" x14ac:dyDescent="0.25">
      <c r="A543" s="23" t="s">
        <v>117</v>
      </c>
      <c r="B543" s="6">
        <f>E254</f>
        <v>2086.3072816916665</v>
      </c>
      <c r="C543" s="6">
        <f>E255</f>
        <v>2341.3850453069444</v>
      </c>
      <c r="D543" s="6">
        <f>E256</f>
        <v>0</v>
      </c>
      <c r="E543" s="242">
        <f>E257</f>
        <v>0</v>
      </c>
    </row>
    <row r="544" spans="1:8" ht="24" customHeight="1" x14ac:dyDescent="0.25">
      <c r="A544" s="23" t="s">
        <v>118</v>
      </c>
      <c r="B544" s="6">
        <f>E354</f>
        <v>99.24072379556722</v>
      </c>
      <c r="C544" s="6">
        <f>E355</f>
        <v>113.98362616482842</v>
      </c>
      <c r="D544" s="6">
        <f>E356</f>
        <v>0</v>
      </c>
      <c r="E544" s="242">
        <f>E357</f>
        <v>0</v>
      </c>
    </row>
    <row r="545" spans="1:5" ht="24" customHeight="1" x14ac:dyDescent="0.25">
      <c r="A545" s="23" t="s">
        <v>119</v>
      </c>
      <c r="B545" s="6">
        <f>D433</f>
        <v>554.93624715933356</v>
      </c>
      <c r="C545" s="6">
        <f>D434</f>
        <v>635.7025632241839</v>
      </c>
      <c r="D545" s="6">
        <f>D435</f>
        <v>0</v>
      </c>
      <c r="E545" s="242">
        <f>D436</f>
        <v>0</v>
      </c>
    </row>
    <row r="546" spans="1:5" ht="24" customHeight="1" x14ac:dyDescent="0.25">
      <c r="A546" s="23" t="s">
        <v>120</v>
      </c>
      <c r="B546" s="6">
        <f>E506</f>
        <v>379.26079166666665</v>
      </c>
      <c r="C546" s="6">
        <f>E507</f>
        <v>379.26079166666665</v>
      </c>
      <c r="D546" s="6">
        <f>D508</f>
        <v>0</v>
      </c>
      <c r="E546" s="242">
        <f>D509</f>
        <v>0</v>
      </c>
    </row>
    <row r="547" spans="1:5" ht="24" customHeight="1" x14ac:dyDescent="0.25">
      <c r="A547" s="23" t="s">
        <v>121</v>
      </c>
      <c r="B547" s="6">
        <f>D522</f>
        <v>863.25142078227168</v>
      </c>
      <c r="C547" s="6">
        <f>D523</f>
        <v>987.04636146346593</v>
      </c>
      <c r="D547" s="6">
        <f>D524</f>
        <v>0</v>
      </c>
      <c r="E547" s="242">
        <f>D525</f>
        <v>0</v>
      </c>
    </row>
    <row r="548" spans="1:5" ht="24" customHeight="1" thickBot="1" x14ac:dyDescent="0.3">
      <c r="A548" s="24" t="s">
        <v>124</v>
      </c>
      <c r="B548" s="74">
        <f>D534</f>
        <v>382.03005706261507</v>
      </c>
      <c r="C548" s="74">
        <f>D535</f>
        <v>436.85430145079255</v>
      </c>
      <c r="D548" s="74">
        <v>0</v>
      </c>
      <c r="E548" s="314">
        <v>0</v>
      </c>
    </row>
    <row r="549" spans="1:5" ht="24" customHeight="1" thickBot="1" x14ac:dyDescent="0.3">
      <c r="A549" s="315" t="s">
        <v>122</v>
      </c>
      <c r="B549" s="316">
        <f>ROUND(SUM(B542:B548),(2))</f>
        <v>6649.87</v>
      </c>
      <c r="C549" s="316">
        <f>ROUND(SUM(C542:C548),(2))</f>
        <v>7559.89</v>
      </c>
      <c r="D549" s="316">
        <f>ROUND(SUM(D542:D548),(2))</f>
        <v>0</v>
      </c>
      <c r="E549" s="317">
        <f>ROUND(SUM(E542:E548),(2))</f>
        <v>0</v>
      </c>
    </row>
    <row r="550" spans="1:5" ht="24" customHeight="1" thickBot="1" x14ac:dyDescent="0.3">
      <c r="A550" s="153" t="s">
        <v>123</v>
      </c>
      <c r="B550" s="59">
        <f>ROUND((B549),(2))*2</f>
        <v>13299.74</v>
      </c>
      <c r="C550" s="59">
        <f>ROUND((C549),(2))*2</f>
        <v>15119.78</v>
      </c>
      <c r="D550" s="59">
        <f>ROUND((D549),(2))*2</f>
        <v>0</v>
      </c>
      <c r="E550" s="243">
        <f>ROUND((E549),(2))*2</f>
        <v>0</v>
      </c>
    </row>
    <row r="551" spans="1:5" ht="24" customHeight="1" x14ac:dyDescent="0.25">
      <c r="A551" s="52"/>
    </row>
    <row r="552" spans="1:5" ht="24" customHeight="1" x14ac:dyDescent="0.25">
      <c r="A552" s="52"/>
    </row>
    <row r="553" spans="1:5" ht="24" customHeight="1" x14ac:dyDescent="0.25">
      <c r="A553" s="52"/>
    </row>
  </sheetData>
  <mergeCells count="104">
    <mergeCell ref="A3:H3"/>
    <mergeCell ref="A108:E108"/>
    <mergeCell ref="A442:D442"/>
    <mergeCell ref="A454:C454"/>
    <mergeCell ref="A456:C456"/>
    <mergeCell ref="A150:D150"/>
    <mergeCell ref="A493:D493"/>
    <mergeCell ref="A495:D495"/>
    <mergeCell ref="A429:H429"/>
    <mergeCell ref="A440:H440"/>
    <mergeCell ref="A431:D431"/>
    <mergeCell ref="A408:E408"/>
    <mergeCell ref="A181:D181"/>
    <mergeCell ref="A163:E163"/>
    <mergeCell ref="A161:E161"/>
    <mergeCell ref="D365:E365"/>
    <mergeCell ref="A465:D465"/>
    <mergeCell ref="A477:C477"/>
    <mergeCell ref="A479:C479"/>
    <mergeCell ref="A488:E488"/>
    <mergeCell ref="A514:F514"/>
    <mergeCell ref="A219:D219"/>
    <mergeCell ref="A220:D220"/>
    <mergeCell ref="A230:D230"/>
    <mergeCell ref="A250:E250"/>
    <mergeCell ref="A274:D274"/>
    <mergeCell ref="A292:F292"/>
    <mergeCell ref="A190:D190"/>
    <mergeCell ref="A232:D232"/>
    <mergeCell ref="A263:B263"/>
    <mergeCell ref="A283:D283"/>
    <mergeCell ref="A252:E252"/>
    <mergeCell ref="A272:H272"/>
    <mergeCell ref="A261:H261"/>
    <mergeCell ref="A241:F241"/>
    <mergeCell ref="A513:H513"/>
    <mergeCell ref="A504:E504"/>
    <mergeCell ref="A515:B515"/>
    <mergeCell ref="A1:H1"/>
    <mergeCell ref="A7:H7"/>
    <mergeCell ref="A11:B11"/>
    <mergeCell ref="A29:D29"/>
    <mergeCell ref="A50:D50"/>
    <mergeCell ref="A2:H2"/>
    <mergeCell ref="A9:H9"/>
    <mergeCell ref="A15:H15"/>
    <mergeCell ref="A79:H79"/>
    <mergeCell ref="A22:D22"/>
    <mergeCell ref="A17:D17"/>
    <mergeCell ref="A40:E40"/>
    <mergeCell ref="A27:H27"/>
    <mergeCell ref="A38:H38"/>
    <mergeCell ref="A45:E45"/>
    <mergeCell ref="A57:D57"/>
    <mergeCell ref="A5:H5"/>
    <mergeCell ref="A55:H55"/>
    <mergeCell ref="A81:D81"/>
    <mergeCell ref="A120:B120"/>
    <mergeCell ref="A132:D132"/>
    <mergeCell ref="A117:H117"/>
    <mergeCell ref="A99:E99"/>
    <mergeCell ref="A301:H301"/>
    <mergeCell ref="A330:H330"/>
    <mergeCell ref="A321:F321"/>
    <mergeCell ref="A397:H397"/>
    <mergeCell ref="A417:H417"/>
    <mergeCell ref="A365:A366"/>
    <mergeCell ref="B365:B366"/>
    <mergeCell ref="C365:C366"/>
    <mergeCell ref="A352:E352"/>
    <mergeCell ref="A363:E363"/>
    <mergeCell ref="A364:E364"/>
    <mergeCell ref="B381:C381"/>
    <mergeCell ref="A380:C380"/>
    <mergeCell ref="A350:H350"/>
    <mergeCell ref="A361:H361"/>
    <mergeCell ref="A303:D303"/>
    <mergeCell ref="A312:D312"/>
    <mergeCell ref="A341:D341"/>
    <mergeCell ref="A332:E332"/>
    <mergeCell ref="A539:E539"/>
    <mergeCell ref="D540:E540"/>
    <mergeCell ref="B540:C540"/>
    <mergeCell ref="A221:D221"/>
    <mergeCell ref="A66:H66"/>
    <mergeCell ref="A77:H77"/>
    <mergeCell ref="A118:H118"/>
    <mergeCell ref="A192:D192"/>
    <mergeCell ref="A201:D201"/>
    <mergeCell ref="A210:D210"/>
    <mergeCell ref="A172:E172"/>
    <mergeCell ref="A159:H159"/>
    <mergeCell ref="A141:D141"/>
    <mergeCell ref="A90:D90"/>
    <mergeCell ref="A68:H68"/>
    <mergeCell ref="A537:H537"/>
    <mergeCell ref="A419:D419"/>
    <mergeCell ref="A424:D424"/>
    <mergeCell ref="A381:A382"/>
    <mergeCell ref="A399:D399"/>
    <mergeCell ref="A520:D520"/>
    <mergeCell ref="A532:D532"/>
    <mergeCell ref="A530:F530"/>
    <mergeCell ref="A529:H529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ignoredErrors>
    <ignoredError sqref="C71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1"/>
  <sheetViews>
    <sheetView showGridLines="0" zoomScale="115" zoomScaleNormal="115" workbookViewId="0">
      <selection activeCell="C129" sqref="C129"/>
    </sheetView>
  </sheetViews>
  <sheetFormatPr defaultColWidth="9.140625" defaultRowHeight="15.75" x14ac:dyDescent="0.25"/>
  <cols>
    <col min="1" max="1" width="9.140625" style="120"/>
    <col min="2" max="2" width="76.5703125" style="120" customWidth="1"/>
    <col min="3" max="3" width="18" style="120" customWidth="1"/>
    <col min="4" max="4" width="14.28515625" style="120" customWidth="1"/>
    <col min="5" max="5" width="12.7109375" style="120" customWidth="1"/>
    <col min="6" max="6" width="12" style="120" customWidth="1"/>
    <col min="7" max="7" width="15.140625" style="120" customWidth="1"/>
    <col min="8" max="16384" width="9.140625" style="120"/>
  </cols>
  <sheetData>
    <row r="1" spans="1:4" ht="23.25" x14ac:dyDescent="0.35">
      <c r="A1" s="370" t="s">
        <v>220</v>
      </c>
      <c r="B1" s="370"/>
      <c r="C1" s="370"/>
      <c r="D1" s="370"/>
    </row>
    <row r="2" spans="1:4" ht="23.25" x14ac:dyDescent="0.35">
      <c r="A2" s="370" t="s">
        <v>329</v>
      </c>
      <c r="B2" s="370"/>
      <c r="C2" s="370"/>
      <c r="D2" s="370"/>
    </row>
    <row r="3" spans="1:4" x14ac:dyDescent="0.25">
      <c r="A3" s="397" t="s">
        <v>226</v>
      </c>
      <c r="B3" s="397"/>
      <c r="C3" s="397"/>
      <c r="D3" s="397"/>
    </row>
    <row r="4" spans="1:4" ht="16.5" thickBot="1" x14ac:dyDescent="0.3">
      <c r="A4" s="147"/>
      <c r="B4" s="147"/>
      <c r="C4" s="147"/>
      <c r="D4" s="147"/>
    </row>
    <row r="5" spans="1:4" ht="16.5" thickBot="1" x14ac:dyDescent="0.3">
      <c r="A5" s="394" t="s">
        <v>240</v>
      </c>
      <c r="B5" s="395"/>
      <c r="C5" s="396"/>
      <c r="D5" s="147"/>
    </row>
    <row r="6" spans="1:4" s="223" customFormat="1" ht="16.5" thickBot="1" x14ac:dyDescent="0.3">
      <c r="A6" s="402" t="s">
        <v>230</v>
      </c>
      <c r="B6" s="403"/>
      <c r="C6" s="404"/>
      <c r="D6" s="222"/>
    </row>
    <row r="8" spans="1:4" x14ac:dyDescent="0.25">
      <c r="A8" s="378" t="s">
        <v>157</v>
      </c>
      <c r="B8" s="378"/>
      <c r="C8" s="378"/>
    </row>
    <row r="9" spans="1:4" ht="16.5" thickBot="1" x14ac:dyDescent="0.3"/>
    <row r="10" spans="1:4" ht="16.5" thickBot="1" x14ac:dyDescent="0.3">
      <c r="A10" s="112">
        <v>1</v>
      </c>
      <c r="B10" s="113" t="s">
        <v>158</v>
      </c>
      <c r="C10" s="113" t="s">
        <v>159</v>
      </c>
    </row>
    <row r="11" spans="1:4" ht="16.5" thickBot="1" x14ac:dyDescent="0.3">
      <c r="A11" s="114" t="s">
        <v>160</v>
      </c>
      <c r="B11" s="115" t="str">
        <f>'Custo por trabalhador'!B69</f>
        <v>Salário Base - Cláusula 3ª, CCT 2024/2026</v>
      </c>
      <c r="C11" s="135">
        <f>'Custo por trabalhador'!B70</f>
        <v>1733.93</v>
      </c>
    </row>
    <row r="12" spans="1:4" ht="17.45" customHeight="1" thickBot="1" x14ac:dyDescent="0.3">
      <c r="A12" s="114" t="s">
        <v>161</v>
      </c>
      <c r="B12" s="115" t="str">
        <f>'Custo por trabalhador'!C69</f>
        <v xml:space="preserve">Gratificação de Função e Adicional -  Cláusula 12ª CCT 2024/2026, § 1º, Alínea a </v>
      </c>
      <c r="C12" s="135">
        <f>'Custo por trabalhador'!C70</f>
        <v>0</v>
      </c>
    </row>
    <row r="13" spans="1:4" ht="17.45" customHeight="1" thickBot="1" x14ac:dyDescent="0.3">
      <c r="A13" s="114" t="s">
        <v>162</v>
      </c>
      <c r="B13" s="115" t="str">
        <f>'Custo por trabalhador'!D69</f>
        <v xml:space="preserve">Gratificação de Função e Adicional -  Cláusula 12ª CCT 2024/2026, § 2º, Alínea a </v>
      </c>
      <c r="C13" s="135">
        <f>'Custo por trabalhador'!D70</f>
        <v>0</v>
      </c>
    </row>
    <row r="14" spans="1:4" ht="16.5" thickBot="1" x14ac:dyDescent="0.3">
      <c r="A14" s="114" t="s">
        <v>163</v>
      </c>
      <c r="B14" s="115" t="str">
        <f>'Custo por trabalhador'!E69</f>
        <v>Adicional de   Periculosidade   - Cláusula 14º CCT 2024/2026</v>
      </c>
      <c r="C14" s="135">
        <f>'Custo por trabalhador'!E70</f>
        <v>520.17899999999997</v>
      </c>
    </row>
    <row r="15" spans="1:4" ht="16.5" thickBot="1" x14ac:dyDescent="0.3">
      <c r="A15" s="114" t="s">
        <v>164</v>
      </c>
      <c r="B15" s="115" t="str">
        <f>'Custo por trabalhador'!F69</f>
        <v>Adicional Noturno - Cláusula 13ª CCT 2024/2026</v>
      </c>
      <c r="C15" s="135">
        <f>'Custo por trabalhador'!F70</f>
        <v>0</v>
      </c>
    </row>
    <row r="16" spans="1:4" ht="16.5" thickBot="1" x14ac:dyDescent="0.3">
      <c r="A16" s="114" t="s">
        <v>165</v>
      </c>
      <c r="B16" s="115" t="str">
        <f>'Custo por trabalhador'!G69</f>
        <v>Adicional - Clausula 31º, § 4º - CCT 2024/2026</v>
      </c>
      <c r="C16" s="135">
        <f>'Custo por trabalhador'!G70</f>
        <v>30.737849999999995</v>
      </c>
    </row>
    <row r="17" spans="1:4" ht="16.5" thickBot="1" x14ac:dyDescent="0.3">
      <c r="A17" s="114"/>
      <c r="B17" s="115"/>
      <c r="C17" s="135"/>
    </row>
    <row r="18" spans="1:4" ht="16.5" thickBot="1" x14ac:dyDescent="0.3">
      <c r="A18" s="399" t="s">
        <v>12</v>
      </c>
      <c r="B18" s="400"/>
      <c r="C18" s="141">
        <f>SUM(C11:C17)</f>
        <v>2284.8468499999999</v>
      </c>
    </row>
    <row r="20" spans="1:4" x14ac:dyDescent="0.25">
      <c r="A20" s="378" t="s">
        <v>168</v>
      </c>
      <c r="B20" s="378"/>
      <c r="C20" s="378"/>
    </row>
    <row r="21" spans="1:4" x14ac:dyDescent="0.25">
      <c r="A21" s="28"/>
    </row>
    <row r="22" spans="1:4" x14ac:dyDescent="0.25">
      <c r="A22" s="398" t="s">
        <v>169</v>
      </c>
      <c r="B22" s="398"/>
      <c r="C22" s="398"/>
    </row>
    <row r="23" spans="1:4" ht="16.5" thickBot="1" x14ac:dyDescent="0.3"/>
    <row r="24" spans="1:4" ht="16.5" thickBot="1" x14ac:dyDescent="0.3">
      <c r="A24" s="112" t="s">
        <v>170</v>
      </c>
      <c r="B24" s="113" t="s">
        <v>171</v>
      </c>
      <c r="C24" s="113" t="s">
        <v>159</v>
      </c>
    </row>
    <row r="25" spans="1:4" ht="16.5" thickBot="1" x14ac:dyDescent="0.3">
      <c r="A25" s="114" t="s">
        <v>160</v>
      </c>
      <c r="B25" s="115" t="s">
        <v>172</v>
      </c>
      <c r="C25" s="135">
        <f>'Custo por trabalhador'!B110</f>
        <v>190.40390416666665</v>
      </c>
    </row>
    <row r="26" spans="1:4" ht="16.5" thickBot="1" x14ac:dyDescent="0.3">
      <c r="A26" s="114" t="s">
        <v>161</v>
      </c>
      <c r="B26" s="115" t="s">
        <v>173</v>
      </c>
      <c r="C26" s="135">
        <f>'Custo por trabalhador'!C110+'Custo por trabalhador'!D110</f>
        <v>253.87187222222218</v>
      </c>
    </row>
    <row r="27" spans="1:4" ht="16.5" thickBot="1" x14ac:dyDescent="0.3">
      <c r="A27" s="399" t="s">
        <v>12</v>
      </c>
      <c r="B27" s="400"/>
      <c r="C27" s="139">
        <f>SUM(C25:C26)</f>
        <v>444.27577638888886</v>
      </c>
    </row>
    <row r="29" spans="1:4" ht="32.25" customHeight="1" x14ac:dyDescent="0.25">
      <c r="A29" s="401" t="s">
        <v>174</v>
      </c>
      <c r="B29" s="401"/>
      <c r="C29" s="401"/>
      <c r="D29" s="401"/>
    </row>
    <row r="30" spans="1:4" ht="16.5" thickBot="1" x14ac:dyDescent="0.3"/>
    <row r="31" spans="1:4" ht="16.5" thickBot="1" x14ac:dyDescent="0.3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117">
        <f>'Custo por trabalhador'!B122</f>
        <v>0.2</v>
      </c>
      <c r="D32" s="140">
        <f t="shared" ref="D32:D39" si="0">($C$27+$C$18)*C32</f>
        <v>545.82452527777775</v>
      </c>
    </row>
    <row r="33" spans="1:4" ht="16.5" thickBot="1" x14ac:dyDescent="0.3">
      <c r="A33" s="114" t="s">
        <v>161</v>
      </c>
      <c r="B33" s="115" t="s">
        <v>179</v>
      </c>
      <c r="C33" s="117">
        <f>'Custo por trabalhador'!B123</f>
        <v>2.5000000000000001E-2</v>
      </c>
      <c r="D33" s="140">
        <f t="shared" si="0"/>
        <v>68.228065659722219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trabalhador'!B124</f>
        <v>0.06</v>
      </c>
      <c r="D34" s="140">
        <f t="shared" si="0"/>
        <v>163.74735758333333</v>
      </c>
    </row>
    <row r="35" spans="1:4" ht="16.5" thickBot="1" x14ac:dyDescent="0.3">
      <c r="A35" s="114" t="s">
        <v>163</v>
      </c>
      <c r="B35" s="115" t="s">
        <v>181</v>
      </c>
      <c r="C35" s="117">
        <f>'Custo por trabalhador'!B125</f>
        <v>1.4999999999999999E-2</v>
      </c>
      <c r="D35" s="140">
        <f t="shared" si="0"/>
        <v>40.936839395833331</v>
      </c>
    </row>
    <row r="36" spans="1:4" ht="16.5" thickBot="1" x14ac:dyDescent="0.3">
      <c r="A36" s="114" t="s">
        <v>164</v>
      </c>
      <c r="B36" s="115" t="s">
        <v>182</v>
      </c>
      <c r="C36" s="117">
        <f>'Custo por trabalhador'!B126</f>
        <v>0.01</v>
      </c>
      <c r="D36" s="140">
        <f t="shared" si="0"/>
        <v>27.291226263888888</v>
      </c>
    </row>
    <row r="37" spans="1:4" ht="16.5" thickBot="1" x14ac:dyDescent="0.3">
      <c r="A37" s="114" t="s">
        <v>165</v>
      </c>
      <c r="B37" s="115" t="s">
        <v>25</v>
      </c>
      <c r="C37" s="117">
        <f>'Custo por trabalhador'!B127</f>
        <v>6.0000000000000001E-3</v>
      </c>
      <c r="D37" s="140">
        <f t="shared" si="0"/>
        <v>16.374735758333333</v>
      </c>
    </row>
    <row r="38" spans="1:4" ht="16.5" thickBot="1" x14ac:dyDescent="0.3">
      <c r="A38" s="114" t="s">
        <v>166</v>
      </c>
      <c r="B38" s="115" t="s">
        <v>26</v>
      </c>
      <c r="C38" s="117">
        <f>'Custo por trabalhador'!B128</f>
        <v>2E-3</v>
      </c>
      <c r="D38" s="140">
        <f t="shared" si="0"/>
        <v>5.4582452527777781</v>
      </c>
    </row>
    <row r="39" spans="1:4" ht="16.5" thickBot="1" x14ac:dyDescent="0.3">
      <c r="A39" s="114" t="s">
        <v>183</v>
      </c>
      <c r="B39" s="115" t="s">
        <v>27</v>
      </c>
      <c r="C39" s="117">
        <f>'Custo por trabalhador'!B129</f>
        <v>0.08</v>
      </c>
      <c r="D39" s="140">
        <f t="shared" si="0"/>
        <v>218.3298101111111</v>
      </c>
    </row>
    <row r="40" spans="1:4" ht="16.5" thickBot="1" x14ac:dyDescent="0.3">
      <c r="A40" s="399" t="s">
        <v>184</v>
      </c>
      <c r="B40" s="400"/>
      <c r="C40" s="117">
        <f>'Custo por trabalhador'!B130</f>
        <v>0.39800000000000008</v>
      </c>
      <c r="D40" s="146">
        <f>SUM(D32:D39)</f>
        <v>1086.1908053027778</v>
      </c>
    </row>
    <row r="42" spans="1:4" x14ac:dyDescent="0.25">
      <c r="A42" s="398" t="s">
        <v>185</v>
      </c>
      <c r="B42" s="398"/>
      <c r="C42" s="398"/>
    </row>
    <row r="43" spans="1:4" ht="16.5" thickBot="1" x14ac:dyDescent="0.3"/>
    <row r="44" spans="1:4" ht="16.5" thickBot="1" x14ac:dyDescent="0.3">
      <c r="A44" s="112" t="s">
        <v>186</v>
      </c>
      <c r="B44" s="113" t="s">
        <v>187</v>
      </c>
      <c r="C44" s="113" t="s">
        <v>159</v>
      </c>
    </row>
    <row r="45" spans="1:4" ht="16.5" thickBot="1" x14ac:dyDescent="0.3">
      <c r="A45" s="114" t="s">
        <v>160</v>
      </c>
      <c r="B45" s="115" t="str">
        <f>'Custo por trabalhador'!B242</f>
        <v>Vale Transporte - Cláusula 16ª CCT 2024/2026</v>
      </c>
      <c r="C45" s="135">
        <f>'Custo por trabalhador'!B243</f>
        <v>0</v>
      </c>
    </row>
    <row r="46" spans="1:4" ht="16.5" thickBot="1" x14ac:dyDescent="0.3">
      <c r="A46" s="114" t="s">
        <v>161</v>
      </c>
      <c r="B46" s="115" t="str">
        <f>'Custo por trabalhador'!C242</f>
        <v>Vale Refeição - Cláusula 15ª CCT 2024/2026</v>
      </c>
      <c r="C46" s="135">
        <f>'Custo por trabalhador'!C243</f>
        <v>471.96069999999997</v>
      </c>
    </row>
    <row r="47" spans="1:4" ht="16.5" thickBot="1" x14ac:dyDescent="0.3">
      <c r="A47" s="114" t="s">
        <v>162</v>
      </c>
      <c r="B47" s="115" t="str">
        <f>'Custo por trabalhador'!D242</f>
        <v xml:space="preserve"> Card Saúde- Abraps Bombank - Clausula 58º CCT 2024/2026</v>
      </c>
      <c r="C47" s="135">
        <f>'Custo por trabalhador'!D243</f>
        <v>83.88</v>
      </c>
    </row>
    <row r="48" spans="1:4" ht="16.5" thickBot="1" x14ac:dyDescent="0.3">
      <c r="A48" s="114" t="s">
        <v>163</v>
      </c>
      <c r="B48" s="115" t="s">
        <v>167</v>
      </c>
      <c r="C48" s="135">
        <f>'Custo por trabalhador'!E243</f>
        <v>0</v>
      </c>
    </row>
    <row r="49" spans="1:4" ht="16.5" thickBot="1" x14ac:dyDescent="0.3">
      <c r="A49" s="399" t="s">
        <v>12</v>
      </c>
      <c r="B49" s="400"/>
      <c r="C49" s="141">
        <f>SUM(C45:C48)</f>
        <v>555.84069999999997</v>
      </c>
    </row>
    <row r="51" spans="1:4" x14ac:dyDescent="0.25">
      <c r="A51" s="398" t="s">
        <v>188</v>
      </c>
      <c r="B51" s="398"/>
      <c r="C51" s="398"/>
    </row>
    <row r="52" spans="1:4" ht="16.5" thickBot="1" x14ac:dyDescent="0.3"/>
    <row r="53" spans="1:4" ht="16.5" thickBot="1" x14ac:dyDescent="0.3">
      <c r="A53" s="112">
        <v>2</v>
      </c>
      <c r="B53" s="113" t="s">
        <v>189</v>
      </c>
      <c r="C53" s="113" t="s">
        <v>159</v>
      </c>
    </row>
    <row r="54" spans="1:4" ht="16.5" thickBot="1" x14ac:dyDescent="0.3">
      <c r="A54" s="114" t="s">
        <v>170</v>
      </c>
      <c r="B54" s="115" t="s">
        <v>171</v>
      </c>
      <c r="C54" s="135">
        <f>C27</f>
        <v>444.27577638888886</v>
      </c>
    </row>
    <row r="55" spans="1:4" ht="16.5" thickBot="1" x14ac:dyDescent="0.3">
      <c r="A55" s="114" t="s">
        <v>175</v>
      </c>
      <c r="B55" s="115" t="s">
        <v>176</v>
      </c>
      <c r="C55" s="135">
        <f>D40</f>
        <v>1086.1908053027778</v>
      </c>
    </row>
    <row r="56" spans="1:4" ht="16.5" thickBot="1" x14ac:dyDescent="0.3">
      <c r="A56" s="114" t="s">
        <v>186</v>
      </c>
      <c r="B56" s="115" t="s">
        <v>187</v>
      </c>
      <c r="C56" s="135">
        <f>C49</f>
        <v>555.84069999999997</v>
      </c>
    </row>
    <row r="57" spans="1:4" ht="16.5" thickBot="1" x14ac:dyDescent="0.3">
      <c r="A57" s="399" t="s">
        <v>12</v>
      </c>
      <c r="B57" s="400"/>
      <c r="C57" s="141">
        <f>SUM(C54:C56)</f>
        <v>2086.3072816916665</v>
      </c>
    </row>
    <row r="58" spans="1:4" x14ac:dyDescent="0.25">
      <c r="A58" s="22"/>
    </row>
    <row r="59" spans="1:4" x14ac:dyDescent="0.25">
      <c r="A59" s="378" t="s">
        <v>190</v>
      </c>
      <c r="B59" s="378"/>
      <c r="C59" s="378"/>
    </row>
    <row r="60" spans="1:4" ht="16.5" thickBot="1" x14ac:dyDescent="0.3"/>
    <row r="61" spans="1:4" ht="16.5" thickBot="1" x14ac:dyDescent="0.3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x14ac:dyDescent="0.25">
      <c r="A62" s="40" t="s">
        <v>160</v>
      </c>
      <c r="B62" s="200" t="s">
        <v>192</v>
      </c>
      <c r="C62" s="201"/>
      <c r="D62" s="202">
        <f>'Custo por trabalhador'!B276</f>
        <v>2729.1226263888889</v>
      </c>
    </row>
    <row r="63" spans="1:4" x14ac:dyDescent="0.25">
      <c r="A63" s="23" t="s">
        <v>161</v>
      </c>
      <c r="B63" s="197" t="s">
        <v>193</v>
      </c>
      <c r="C63" s="199">
        <v>0.08</v>
      </c>
      <c r="D63" s="203">
        <f>'Custo por trabalhador'!C294</f>
        <v>218.3298101111111</v>
      </c>
    </row>
    <row r="64" spans="1:4" ht="16.5" thickBot="1" x14ac:dyDescent="0.3">
      <c r="A64" s="24" t="s">
        <v>162</v>
      </c>
      <c r="B64" s="204" t="s">
        <v>194</v>
      </c>
      <c r="C64" s="224">
        <v>0.4</v>
      </c>
      <c r="D64" s="206">
        <f>'Custo por trabalhador'!D294</f>
        <v>87.331924044444449</v>
      </c>
    </row>
    <row r="65" spans="1:4" ht="16.5" thickBot="1" x14ac:dyDescent="0.3">
      <c r="A65" s="210"/>
      <c r="B65" s="211" t="s">
        <v>252</v>
      </c>
      <c r="C65" s="229">
        <f>'Custo por trabalhador'!B266</f>
        <v>4.1999999999999997E-3</v>
      </c>
      <c r="D65" s="213">
        <f>'Custo por trabalhador'!F294</f>
        <v>12.746094314286664</v>
      </c>
    </row>
    <row r="66" spans="1:4" x14ac:dyDescent="0.25">
      <c r="A66" s="225" t="s">
        <v>163</v>
      </c>
      <c r="B66" s="226" t="s">
        <v>195</v>
      </c>
      <c r="C66" s="227"/>
      <c r="D66" s="228">
        <f>'Custo por trabalhador'!B323</f>
        <v>3284.9633263888891</v>
      </c>
    </row>
    <row r="67" spans="1:4" x14ac:dyDescent="0.25">
      <c r="A67" s="196" t="s">
        <v>164</v>
      </c>
      <c r="B67" s="197" t="s">
        <v>196</v>
      </c>
      <c r="C67" s="207">
        <f>C40</f>
        <v>0.39800000000000008</v>
      </c>
      <c r="D67" s="198">
        <f>'Custo por trabalhador'!C323</f>
        <v>1086.1908053027778</v>
      </c>
    </row>
    <row r="68" spans="1:4" ht="16.5" thickBot="1" x14ac:dyDescent="0.3">
      <c r="A68" s="208" t="s">
        <v>165</v>
      </c>
      <c r="B68" s="204" t="s">
        <v>197</v>
      </c>
      <c r="C68" s="209">
        <v>0.4</v>
      </c>
      <c r="D68" s="205">
        <f>'Custo por trabalhador'!D323</f>
        <v>87.331924044444449</v>
      </c>
    </row>
    <row r="69" spans="1:4" ht="16.5" thickBot="1" x14ac:dyDescent="0.3">
      <c r="A69" s="155"/>
      <c r="B69" s="211" t="s">
        <v>253</v>
      </c>
      <c r="C69" s="212">
        <f>'Custo por trabalhador'!E323</f>
        <v>1.9400000000000001E-2</v>
      </c>
      <c r="D69" s="213">
        <f>'Custo por trabalhador'!F323</f>
        <v>86.494629481280555</v>
      </c>
    </row>
    <row r="70" spans="1:4" ht="16.5" thickBot="1" x14ac:dyDescent="0.3">
      <c r="A70" s="405" t="s">
        <v>12</v>
      </c>
      <c r="B70" s="406"/>
      <c r="C70" s="141"/>
      <c r="D70" s="141">
        <f>D65+D69</f>
        <v>99.24072379556722</v>
      </c>
    </row>
    <row r="72" spans="1:4" x14ac:dyDescent="0.25">
      <c r="A72" s="378" t="s">
        <v>198</v>
      </c>
      <c r="B72" s="378"/>
      <c r="C72" s="378"/>
    </row>
    <row r="74" spans="1:4" x14ac:dyDescent="0.25">
      <c r="A74" s="398" t="s">
        <v>199</v>
      </c>
      <c r="B74" s="398"/>
      <c r="C74" s="398"/>
    </row>
    <row r="75" spans="1:4" ht="16.5" thickBot="1" x14ac:dyDescent="0.3">
      <c r="A75" s="28"/>
    </row>
    <row r="76" spans="1:4" ht="16.5" thickBot="1" x14ac:dyDescent="0.3">
      <c r="A76" s="112" t="s">
        <v>200</v>
      </c>
      <c r="B76" s="113" t="s">
        <v>201</v>
      </c>
      <c r="C76" s="113" t="s">
        <v>159</v>
      </c>
    </row>
    <row r="77" spans="1:4" ht="16.5" thickBot="1" x14ac:dyDescent="0.3">
      <c r="A77" s="114" t="s">
        <v>160</v>
      </c>
      <c r="B77" s="115" t="s">
        <v>201</v>
      </c>
      <c r="C77" s="135">
        <f>'Custo por trabalhador'!B433</f>
        <v>250.13659792156761</v>
      </c>
    </row>
    <row r="78" spans="1:4" ht="16.5" thickBot="1" x14ac:dyDescent="0.3">
      <c r="A78" s="399" t="s">
        <v>184</v>
      </c>
      <c r="B78" s="400"/>
      <c r="C78" s="141">
        <f>SUM(C77:C77)</f>
        <v>250.13659792156761</v>
      </c>
    </row>
    <row r="80" spans="1:4" x14ac:dyDescent="0.25">
      <c r="A80" s="398" t="s">
        <v>202</v>
      </c>
      <c r="B80" s="398"/>
      <c r="C80" s="398"/>
    </row>
    <row r="81" spans="1:3" ht="16.5" thickBot="1" x14ac:dyDescent="0.3">
      <c r="A81" s="28"/>
    </row>
    <row r="82" spans="1:3" ht="16.5" thickBot="1" x14ac:dyDescent="0.3">
      <c r="A82" s="112" t="s">
        <v>203</v>
      </c>
      <c r="B82" s="113" t="s">
        <v>204</v>
      </c>
      <c r="C82" s="113" t="s">
        <v>159</v>
      </c>
    </row>
    <row r="83" spans="1:3" ht="16.5" thickBot="1" x14ac:dyDescent="0.3">
      <c r="A83" s="114" t="s">
        <v>160</v>
      </c>
      <c r="B83" s="115" t="s">
        <v>227</v>
      </c>
      <c r="C83" s="135">
        <f>'Custo por trabalhador'!C433</f>
        <v>304.79964923776595</v>
      </c>
    </row>
    <row r="84" spans="1:3" ht="16.5" thickBot="1" x14ac:dyDescent="0.3">
      <c r="A84" s="399" t="s">
        <v>12</v>
      </c>
      <c r="B84" s="400"/>
      <c r="C84" s="139">
        <f>SUM(C83)</f>
        <v>304.79964923776595</v>
      </c>
    </row>
    <row r="86" spans="1:3" x14ac:dyDescent="0.25">
      <c r="A86" s="398" t="s">
        <v>205</v>
      </c>
      <c r="B86" s="398"/>
      <c r="C86" s="398"/>
    </row>
    <row r="87" spans="1:3" ht="16.5" thickBot="1" x14ac:dyDescent="0.3">
      <c r="A87" s="28"/>
    </row>
    <row r="88" spans="1:3" ht="16.5" thickBot="1" x14ac:dyDescent="0.3">
      <c r="A88" s="112">
        <v>4</v>
      </c>
      <c r="B88" s="113" t="s">
        <v>206</v>
      </c>
      <c r="C88" s="113" t="s">
        <v>159</v>
      </c>
    </row>
    <row r="89" spans="1:3" ht="16.5" thickBot="1" x14ac:dyDescent="0.3">
      <c r="A89" s="114" t="s">
        <v>200</v>
      </c>
      <c r="B89" s="115" t="s">
        <v>201</v>
      </c>
      <c r="C89" s="136">
        <f>C78</f>
        <v>250.13659792156761</v>
      </c>
    </row>
    <row r="90" spans="1:3" ht="16.5" thickBot="1" x14ac:dyDescent="0.3">
      <c r="A90" s="114" t="s">
        <v>203</v>
      </c>
      <c r="B90" s="115" t="s">
        <v>204</v>
      </c>
      <c r="C90" s="136">
        <f>C84</f>
        <v>304.79964923776595</v>
      </c>
    </row>
    <row r="91" spans="1:3" ht="16.5" thickBot="1" x14ac:dyDescent="0.3">
      <c r="A91" s="399" t="s">
        <v>12</v>
      </c>
      <c r="B91" s="400"/>
      <c r="C91" s="139">
        <f>SUM(C89:C90)</f>
        <v>554.93624715933356</v>
      </c>
    </row>
    <row r="93" spans="1:3" x14ac:dyDescent="0.25">
      <c r="A93" s="378" t="s">
        <v>207</v>
      </c>
      <c r="B93" s="378"/>
      <c r="C93" s="378"/>
    </row>
    <row r="94" spans="1:3" ht="16.5" thickBot="1" x14ac:dyDescent="0.3"/>
    <row r="95" spans="1:3" ht="16.5" thickBot="1" x14ac:dyDescent="0.3">
      <c r="A95" s="112">
        <v>5</v>
      </c>
      <c r="B95" s="119" t="s">
        <v>120</v>
      </c>
      <c r="C95" s="113" t="s">
        <v>159</v>
      </c>
    </row>
    <row r="96" spans="1:3" ht="16.5" thickBot="1" x14ac:dyDescent="0.3">
      <c r="A96" s="114" t="s">
        <v>160</v>
      </c>
      <c r="B96" s="115" t="s">
        <v>208</v>
      </c>
      <c r="C96" s="135">
        <f>'Custo por trabalhador'!B506</f>
        <v>256.16666666666669</v>
      </c>
    </row>
    <row r="97" spans="1:4" ht="16.5" thickBot="1" x14ac:dyDescent="0.3">
      <c r="A97" s="114" t="s">
        <v>161</v>
      </c>
      <c r="B97" s="115" t="s">
        <v>209</v>
      </c>
      <c r="C97" s="135">
        <f>'Custo por trabalhador'!C506</f>
        <v>48.236249999999991</v>
      </c>
    </row>
    <row r="98" spans="1:4" ht="16.5" thickBot="1" x14ac:dyDescent="0.3">
      <c r="A98" s="114" t="s">
        <v>162</v>
      </c>
      <c r="B98" s="115" t="s">
        <v>210</v>
      </c>
      <c r="C98" s="135">
        <f>'Custo por trabalhador'!D506</f>
        <v>74.857874999999993</v>
      </c>
    </row>
    <row r="99" spans="1:4" ht="16.5" thickBot="1" x14ac:dyDescent="0.3">
      <c r="A99" s="114" t="s">
        <v>163</v>
      </c>
      <c r="B99" s="115" t="s">
        <v>256</v>
      </c>
      <c r="C99" s="135"/>
    </row>
    <row r="100" spans="1:4" ht="16.5" thickBot="1" x14ac:dyDescent="0.3">
      <c r="A100" s="399" t="s">
        <v>184</v>
      </c>
      <c r="B100" s="400"/>
      <c r="C100" s="139">
        <f>SUM(C96:C99)</f>
        <v>379.26079166666665</v>
      </c>
    </row>
    <row r="102" spans="1:4" x14ac:dyDescent="0.25">
      <c r="A102" s="378" t="s">
        <v>211</v>
      </c>
      <c r="B102" s="378"/>
      <c r="C102" s="378"/>
    </row>
    <row r="103" spans="1:4" ht="16.5" thickBot="1" x14ac:dyDescent="0.3"/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trabalhador'!B516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trabalhador'!B518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trabalhador'!B517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7"/>
      <c r="D108" s="116"/>
    </row>
    <row r="109" spans="1:4" ht="16.5" thickBot="1" x14ac:dyDescent="0.3">
      <c r="A109" s="114"/>
      <c r="B109" s="115" t="s">
        <v>213</v>
      </c>
      <c r="C109" s="117"/>
      <c r="D109" s="116"/>
    </row>
    <row r="110" spans="1:4" ht="16.5" thickBot="1" x14ac:dyDescent="0.3">
      <c r="A110" s="114"/>
      <c r="B110" s="115" t="s">
        <v>214</v>
      </c>
      <c r="C110" s="117"/>
      <c r="D110" s="116"/>
    </row>
    <row r="111" spans="1:4" ht="16.5" thickBot="1" x14ac:dyDescent="0.3">
      <c r="A111" s="399" t="s">
        <v>184</v>
      </c>
      <c r="B111" s="400"/>
      <c r="C111" s="332">
        <f>'Custo por trabalhador'!C522</f>
        <v>0.16925871268021342</v>
      </c>
      <c r="D111" s="141">
        <f>'Custo por trabalhador'!D522</f>
        <v>863.25142078227168</v>
      </c>
    </row>
    <row r="112" spans="1:4" ht="16.5" thickBot="1" x14ac:dyDescent="0.3">
      <c r="A112" s="214"/>
      <c r="B112" s="214"/>
      <c r="C112" s="215"/>
      <c r="D112" s="216"/>
    </row>
    <row r="113" spans="1:5" ht="16.5" thickBot="1" x14ac:dyDescent="0.3">
      <c r="A113" s="341" t="s">
        <v>254</v>
      </c>
      <c r="B113" s="342"/>
      <c r="C113" s="343"/>
    </row>
    <row r="114" spans="1:5" ht="16.5" thickBot="1" x14ac:dyDescent="0.3">
      <c r="A114" s="217" t="s">
        <v>160</v>
      </c>
      <c r="B114" s="218" t="s">
        <v>255</v>
      </c>
      <c r="C114" s="219">
        <f>'Custo por trabalhador'!D534</f>
        <v>382.03005706261507</v>
      </c>
    </row>
    <row r="115" spans="1:5" x14ac:dyDescent="0.25">
      <c r="A115" s="90"/>
      <c r="B115" s="90"/>
      <c r="C115" s="90"/>
    </row>
    <row r="116" spans="1:5" x14ac:dyDescent="0.25">
      <c r="A116" s="378" t="s">
        <v>215</v>
      </c>
      <c r="B116" s="378"/>
      <c r="C116" s="378"/>
    </row>
    <row r="117" spans="1:5" ht="16.5" thickBot="1" x14ac:dyDescent="0.3"/>
    <row r="118" spans="1:5" ht="16.5" thickBot="1" x14ac:dyDescent="0.3">
      <c r="A118" s="112"/>
      <c r="B118" s="113" t="s">
        <v>216</v>
      </c>
      <c r="C118" s="113" t="s">
        <v>159</v>
      </c>
    </row>
    <row r="119" spans="1:5" ht="16.5" thickBot="1" x14ac:dyDescent="0.3">
      <c r="A119" s="121" t="s">
        <v>160</v>
      </c>
      <c r="B119" s="115" t="s">
        <v>157</v>
      </c>
      <c r="C119" s="142">
        <f>C18</f>
        <v>2284.8468499999999</v>
      </c>
    </row>
    <row r="120" spans="1:5" ht="16.5" thickBot="1" x14ac:dyDescent="0.3">
      <c r="A120" s="121" t="s">
        <v>161</v>
      </c>
      <c r="B120" s="115" t="s">
        <v>168</v>
      </c>
      <c r="C120" s="142">
        <f>C57</f>
        <v>2086.3072816916665</v>
      </c>
    </row>
    <row r="121" spans="1:5" ht="16.5" thickBot="1" x14ac:dyDescent="0.3">
      <c r="A121" s="121" t="s">
        <v>162</v>
      </c>
      <c r="B121" s="115" t="s">
        <v>190</v>
      </c>
      <c r="C121" s="142">
        <f>D70</f>
        <v>99.24072379556722</v>
      </c>
    </row>
    <row r="122" spans="1:5" ht="16.5" thickBot="1" x14ac:dyDescent="0.3">
      <c r="A122" s="121" t="s">
        <v>163</v>
      </c>
      <c r="B122" s="115" t="s">
        <v>198</v>
      </c>
      <c r="C122" s="142">
        <f>C91</f>
        <v>554.93624715933356</v>
      </c>
    </row>
    <row r="123" spans="1:5" ht="16.5" thickBot="1" x14ac:dyDescent="0.3">
      <c r="A123" s="121" t="s">
        <v>164</v>
      </c>
      <c r="B123" s="115" t="s">
        <v>207</v>
      </c>
      <c r="C123" s="142">
        <f>C100</f>
        <v>379.26079166666665</v>
      </c>
    </row>
    <row r="124" spans="1:5" ht="16.5" thickBot="1" x14ac:dyDescent="0.3">
      <c r="A124" s="399" t="s">
        <v>217</v>
      </c>
      <c r="B124" s="400"/>
      <c r="C124" s="143">
        <f>ROUND(SUM(C119:C123),(2))</f>
        <v>5404.59</v>
      </c>
    </row>
    <row r="125" spans="1:5" ht="16.5" thickBot="1" x14ac:dyDescent="0.3">
      <c r="A125" s="133" t="s">
        <v>165</v>
      </c>
      <c r="B125" s="134" t="s">
        <v>218</v>
      </c>
      <c r="C125" s="144">
        <f>D111</f>
        <v>863.25142078227168</v>
      </c>
    </row>
    <row r="126" spans="1:5" ht="16.5" thickBot="1" x14ac:dyDescent="0.3">
      <c r="A126" s="133" t="s">
        <v>166</v>
      </c>
      <c r="B126" s="134" t="s">
        <v>255</v>
      </c>
      <c r="C126" s="144">
        <f>C114</f>
        <v>382.03005706261507</v>
      </c>
    </row>
    <row r="127" spans="1:5" ht="16.5" thickBot="1" x14ac:dyDescent="0.3">
      <c r="A127" s="392" t="s">
        <v>219</v>
      </c>
      <c r="B127" s="393"/>
      <c r="C127" s="148">
        <f>ROUND(SUM(C119:C123,C125:C126),(2))</f>
        <v>6649.87</v>
      </c>
      <c r="E127" s="145"/>
    </row>
    <row r="128" spans="1:5" ht="16.5" thickBot="1" x14ac:dyDescent="0.3">
      <c r="A128" s="392" t="s">
        <v>239</v>
      </c>
      <c r="B128" s="393"/>
      <c r="C128" s="148">
        <f>ROUND((C127),(2))*2</f>
        <v>13299.74</v>
      </c>
    </row>
    <row r="131" spans="2:2" x14ac:dyDescent="0.25">
      <c r="B131" s="132"/>
    </row>
  </sheetData>
  <mergeCells count="34">
    <mergeCell ref="A111:B111"/>
    <mergeCell ref="A102:C102"/>
    <mergeCell ref="A49:B49"/>
    <mergeCell ref="A42:C42"/>
    <mergeCell ref="A57:B57"/>
    <mergeCell ref="A51:C51"/>
    <mergeCell ref="A70:B70"/>
    <mergeCell ref="A59:C59"/>
    <mergeCell ref="A86:C86"/>
    <mergeCell ref="A1:D1"/>
    <mergeCell ref="A2:D2"/>
    <mergeCell ref="A100:B100"/>
    <mergeCell ref="A93:C93"/>
    <mergeCell ref="A18:B18"/>
    <mergeCell ref="A8:C8"/>
    <mergeCell ref="A27:B27"/>
    <mergeCell ref="A20:C20"/>
    <mergeCell ref="A6:C6"/>
    <mergeCell ref="A128:B128"/>
    <mergeCell ref="A5:C5"/>
    <mergeCell ref="A3:D3"/>
    <mergeCell ref="A22:C22"/>
    <mergeCell ref="A40:B40"/>
    <mergeCell ref="A29:D29"/>
    <mergeCell ref="A124:B124"/>
    <mergeCell ref="A127:B127"/>
    <mergeCell ref="A116:C116"/>
    <mergeCell ref="A72:C72"/>
    <mergeCell ref="A78:B78"/>
    <mergeCell ref="A74:C74"/>
    <mergeCell ref="A84:B84"/>
    <mergeCell ref="A80:C80"/>
    <mergeCell ref="A91:B91"/>
    <mergeCell ref="A113:C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32"/>
  <sheetViews>
    <sheetView zoomScale="115" zoomScaleNormal="115" workbookViewId="0">
      <selection activeCell="C129" sqref="C129"/>
    </sheetView>
  </sheetViews>
  <sheetFormatPr defaultRowHeight="15" x14ac:dyDescent="0.25"/>
  <cols>
    <col min="2" max="2" width="76.5703125" customWidth="1"/>
    <col min="3" max="3" width="18" customWidth="1"/>
    <col min="4" max="4" width="14.28515625" customWidth="1"/>
  </cols>
  <sheetData>
    <row r="1" spans="1:4" ht="23.25" x14ac:dyDescent="0.35">
      <c r="A1" s="370" t="s">
        <v>220</v>
      </c>
      <c r="B1" s="370"/>
      <c r="C1" s="370"/>
      <c r="D1" s="370"/>
    </row>
    <row r="2" spans="1:4" ht="23.25" x14ac:dyDescent="0.35">
      <c r="A2" s="370" t="s">
        <v>330</v>
      </c>
      <c r="B2" s="370"/>
      <c r="C2" s="370"/>
      <c r="D2" s="370"/>
    </row>
    <row r="3" spans="1:4" ht="15.75" x14ac:dyDescent="0.25">
      <c r="A3" s="397" t="s">
        <v>226</v>
      </c>
      <c r="B3" s="397"/>
      <c r="C3" s="397"/>
      <c r="D3" s="397"/>
    </row>
    <row r="4" spans="1:4" ht="16.5" thickBot="1" x14ac:dyDescent="0.3">
      <c r="A4" s="147"/>
      <c r="B4" s="147"/>
      <c r="C4" s="147"/>
      <c r="D4" s="147"/>
    </row>
    <row r="5" spans="1:4" ht="16.5" thickBot="1" x14ac:dyDescent="0.3">
      <c r="A5" s="408" t="s">
        <v>240</v>
      </c>
      <c r="B5" s="409"/>
      <c r="C5" s="410"/>
      <c r="D5" s="147"/>
    </row>
    <row r="6" spans="1:4" ht="15.6" customHeight="1" thickBot="1" x14ac:dyDescent="0.3">
      <c r="A6" s="411" t="s">
        <v>231</v>
      </c>
      <c r="B6" s="412"/>
      <c r="C6" s="413"/>
      <c r="D6" s="147"/>
    </row>
    <row r="7" spans="1:4" ht="15.75" x14ac:dyDescent="0.25">
      <c r="A7" s="120"/>
      <c r="B7" s="120"/>
      <c r="C7" s="120"/>
      <c r="D7" s="120"/>
    </row>
    <row r="8" spans="1:4" ht="15.75" x14ac:dyDescent="0.25">
      <c r="A8" s="378" t="s">
        <v>157</v>
      </c>
      <c r="B8" s="378"/>
      <c r="C8" s="378"/>
      <c r="D8" s="120"/>
    </row>
    <row r="9" spans="1:4" ht="16.5" thickBot="1" x14ac:dyDescent="0.3">
      <c r="A9" s="120"/>
      <c r="B9" s="120"/>
      <c r="C9" s="120"/>
      <c r="D9" s="120"/>
    </row>
    <row r="10" spans="1:4" ht="16.5" thickBot="1" x14ac:dyDescent="0.3">
      <c r="A10" s="112">
        <v>1</v>
      </c>
      <c r="B10" s="113" t="s">
        <v>158</v>
      </c>
      <c r="C10" s="113" t="s">
        <v>159</v>
      </c>
      <c r="D10" s="120"/>
    </row>
    <row r="11" spans="1:4" ht="16.5" thickBot="1" x14ac:dyDescent="0.3">
      <c r="A11" s="114" t="s">
        <v>160</v>
      </c>
      <c r="B11" s="115" t="str">
        <f>'Custo por trabalhador'!B69</f>
        <v>Salário Base - Cláusula 3ª, CCT 2024/2026</v>
      </c>
      <c r="C11" s="135">
        <f>'Custo por trabalhador'!B71</f>
        <v>1733.93</v>
      </c>
      <c r="D11" s="120"/>
    </row>
    <row r="12" spans="1:4" ht="17.45" customHeight="1" thickBot="1" x14ac:dyDescent="0.3">
      <c r="A12" s="114" t="s">
        <v>161</v>
      </c>
      <c r="B12" s="115" t="str">
        <f>'Custo por trabalhador'!C69</f>
        <v xml:space="preserve">Gratificação de Função e Adicional -  Cláusula 12ª CCT 2024/2026, § 1º, Alínea a </v>
      </c>
      <c r="C12" s="135">
        <f>'Custo por trabalhador'!C71</f>
        <v>0</v>
      </c>
      <c r="D12" s="120"/>
    </row>
    <row r="13" spans="1:4" ht="17.45" customHeight="1" thickBot="1" x14ac:dyDescent="0.3">
      <c r="A13" s="114" t="s">
        <v>162</v>
      </c>
      <c r="B13" s="115" t="str">
        <f>'Custo por trabalhador'!D69</f>
        <v xml:space="preserve">Gratificação de Função e Adicional -  Cláusula 12ª CCT 2024/2026, § 2º, Alínea a </v>
      </c>
      <c r="C13" s="135">
        <f>'Custo por trabalhador'!D71</f>
        <v>0</v>
      </c>
      <c r="D13" s="120"/>
    </row>
    <row r="14" spans="1:4" ht="16.5" thickBot="1" x14ac:dyDescent="0.3">
      <c r="A14" s="114" t="s">
        <v>163</v>
      </c>
      <c r="B14" s="115" t="str">
        <f>'Custo por trabalhador'!E69</f>
        <v>Adicional de   Periculosidade   - Cláusula 14º CCT 2024/2026</v>
      </c>
      <c r="C14" s="135">
        <f>'Custo por trabalhador'!E71</f>
        <v>520.17899999999997</v>
      </c>
      <c r="D14" s="120"/>
    </row>
    <row r="15" spans="1:4" ht="16.5" thickBot="1" x14ac:dyDescent="0.3">
      <c r="A15" s="114" t="s">
        <v>164</v>
      </c>
      <c r="B15" s="115" t="str">
        <f>'Custo por trabalhador'!F69</f>
        <v>Adicional Noturno - Cláusula 13ª CCT 2024/2026</v>
      </c>
      <c r="C15" s="135">
        <f>'Custo por trabalhador'!F71</f>
        <v>375.68483333333336</v>
      </c>
      <c r="D15" s="120"/>
    </row>
    <row r="16" spans="1:4" ht="16.5" thickBot="1" x14ac:dyDescent="0.3">
      <c r="A16" s="114" t="s">
        <v>165</v>
      </c>
      <c r="B16" s="115" t="str">
        <f>'Custo por trabalhador'!G69</f>
        <v>Adicional - Clausula 31º, § 4º - CCT 2024/2026</v>
      </c>
      <c r="C16" s="135">
        <f>'Custo por trabalhador'!G71</f>
        <v>35.860824999999998</v>
      </c>
      <c r="D16" s="120"/>
    </row>
    <row r="17" spans="1:4" ht="16.5" thickBot="1" x14ac:dyDescent="0.3">
      <c r="A17" s="114"/>
      <c r="B17" s="115"/>
      <c r="C17" s="135"/>
      <c r="D17" s="120"/>
    </row>
    <row r="18" spans="1:4" ht="16.5" thickBot="1" x14ac:dyDescent="0.3">
      <c r="A18" s="399" t="s">
        <v>12</v>
      </c>
      <c r="B18" s="400"/>
      <c r="C18" s="141">
        <f>SUM(C11:C17)</f>
        <v>2665.6546583333334</v>
      </c>
      <c r="D18" s="120"/>
    </row>
    <row r="19" spans="1:4" ht="15.75" x14ac:dyDescent="0.25">
      <c r="A19" s="120"/>
      <c r="B19" s="120"/>
      <c r="C19" s="120"/>
      <c r="D19" s="120"/>
    </row>
    <row r="20" spans="1:4" ht="15.75" x14ac:dyDescent="0.25">
      <c r="A20" s="378" t="s">
        <v>168</v>
      </c>
      <c r="B20" s="378"/>
      <c r="C20" s="378"/>
      <c r="D20" s="120"/>
    </row>
    <row r="21" spans="1:4" ht="15.75" x14ac:dyDescent="0.25">
      <c r="A21" s="28"/>
      <c r="B21" s="120"/>
      <c r="C21" s="120"/>
      <c r="D21" s="120"/>
    </row>
    <row r="22" spans="1:4" ht="15.75" x14ac:dyDescent="0.25">
      <c r="A22" s="398" t="s">
        <v>169</v>
      </c>
      <c r="B22" s="398"/>
      <c r="C22" s="398"/>
      <c r="D22" s="120"/>
    </row>
    <row r="23" spans="1:4" ht="16.5" thickBot="1" x14ac:dyDescent="0.3">
      <c r="A23" s="120"/>
      <c r="B23" s="120"/>
      <c r="C23" s="120"/>
      <c r="D23" s="120"/>
    </row>
    <row r="24" spans="1:4" ht="16.5" thickBot="1" x14ac:dyDescent="0.3">
      <c r="A24" s="112" t="s">
        <v>170</v>
      </c>
      <c r="B24" s="113" t="s">
        <v>171</v>
      </c>
      <c r="C24" s="113" t="s">
        <v>159</v>
      </c>
      <c r="D24" s="120"/>
    </row>
    <row r="25" spans="1:4" ht="16.5" thickBot="1" x14ac:dyDescent="0.3">
      <c r="A25" s="114" t="s">
        <v>160</v>
      </c>
      <c r="B25" s="115" t="s">
        <v>172</v>
      </c>
      <c r="C25" s="135">
        <f>'Custo por trabalhador'!B111</f>
        <v>222.13788819444443</v>
      </c>
      <c r="D25" s="120"/>
    </row>
    <row r="26" spans="1:4" ht="16.5" thickBot="1" x14ac:dyDescent="0.3">
      <c r="A26" s="114" t="s">
        <v>161</v>
      </c>
      <c r="B26" s="115" t="s">
        <v>173</v>
      </c>
      <c r="C26" s="135">
        <f>'Custo por trabalhador'!C111+'Custo por trabalhador'!D111</f>
        <v>296.18385092592587</v>
      </c>
      <c r="D26" s="120"/>
    </row>
    <row r="27" spans="1:4" ht="16.5" thickBot="1" x14ac:dyDescent="0.3">
      <c r="A27" s="399" t="s">
        <v>12</v>
      </c>
      <c r="B27" s="400"/>
      <c r="C27" s="141">
        <f>SUM(C25:C26)</f>
        <v>518.32173912037024</v>
      </c>
      <c r="D27" s="120"/>
    </row>
    <row r="28" spans="1:4" ht="15.75" x14ac:dyDescent="0.25">
      <c r="A28" s="120"/>
      <c r="B28" s="120"/>
      <c r="C28" s="120"/>
      <c r="D28" s="120"/>
    </row>
    <row r="29" spans="1:4" ht="15.75" x14ac:dyDescent="0.25">
      <c r="A29" s="401" t="s">
        <v>174</v>
      </c>
      <c r="B29" s="401"/>
      <c r="C29" s="401"/>
      <c r="D29" s="401"/>
    </row>
    <row r="30" spans="1:4" ht="16.5" thickBot="1" x14ac:dyDescent="0.3">
      <c r="A30" s="120"/>
      <c r="B30" s="120"/>
      <c r="C30" s="120"/>
      <c r="D30" s="120"/>
    </row>
    <row r="31" spans="1:4" ht="16.5" thickBot="1" x14ac:dyDescent="0.3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5" thickBot="1" x14ac:dyDescent="0.3">
      <c r="A32" s="114" t="s">
        <v>160</v>
      </c>
      <c r="B32" s="115" t="s">
        <v>178</v>
      </c>
      <c r="C32" s="117">
        <f>'Custo por trabalhador'!B122</f>
        <v>0.2</v>
      </c>
      <c r="D32" s="135">
        <f t="shared" ref="D32:D39" si="0">($C$18+$C$27)*C32</f>
        <v>636.79527949074077</v>
      </c>
    </row>
    <row r="33" spans="1:4" ht="16.5" thickBot="1" x14ac:dyDescent="0.3">
      <c r="A33" s="114" t="s">
        <v>161</v>
      </c>
      <c r="B33" s="115" t="s">
        <v>179</v>
      </c>
      <c r="C33" s="117">
        <f>'Custo por trabalhador'!B123</f>
        <v>2.5000000000000001E-2</v>
      </c>
      <c r="D33" s="135">
        <f t="shared" si="0"/>
        <v>79.599409936342596</v>
      </c>
    </row>
    <row r="34" spans="1:4" ht="16.5" thickBot="1" x14ac:dyDescent="0.3">
      <c r="A34" s="114" t="s">
        <v>162</v>
      </c>
      <c r="B34" s="115" t="s">
        <v>180</v>
      </c>
      <c r="C34" s="118">
        <f>'Custo por trabalhador'!B124</f>
        <v>0.06</v>
      </c>
      <c r="D34" s="135">
        <f t="shared" si="0"/>
        <v>191.03858384722221</v>
      </c>
    </row>
    <row r="35" spans="1:4" ht="16.5" thickBot="1" x14ac:dyDescent="0.3">
      <c r="A35" s="114" t="s">
        <v>163</v>
      </c>
      <c r="B35" s="115" t="s">
        <v>181</v>
      </c>
      <c r="C35" s="117">
        <f>'Custo por trabalhador'!B125</f>
        <v>1.4999999999999999E-2</v>
      </c>
      <c r="D35" s="135">
        <f t="shared" si="0"/>
        <v>47.759645961805553</v>
      </c>
    </row>
    <row r="36" spans="1:4" ht="16.5" thickBot="1" x14ac:dyDescent="0.3">
      <c r="A36" s="114" t="s">
        <v>164</v>
      </c>
      <c r="B36" s="115" t="s">
        <v>182</v>
      </c>
      <c r="C36" s="117">
        <f>'Custo por trabalhador'!B126</f>
        <v>0.01</v>
      </c>
      <c r="D36" s="135">
        <f t="shared" si="0"/>
        <v>31.839763974537036</v>
      </c>
    </row>
    <row r="37" spans="1:4" ht="16.5" thickBot="1" x14ac:dyDescent="0.3">
      <c r="A37" s="114" t="s">
        <v>165</v>
      </c>
      <c r="B37" s="115" t="s">
        <v>25</v>
      </c>
      <c r="C37" s="117">
        <f>'Custo por trabalhador'!B127</f>
        <v>6.0000000000000001E-3</v>
      </c>
      <c r="D37" s="135">
        <f t="shared" si="0"/>
        <v>19.103858384722223</v>
      </c>
    </row>
    <row r="38" spans="1:4" ht="16.5" thickBot="1" x14ac:dyDescent="0.3">
      <c r="A38" s="114" t="s">
        <v>166</v>
      </c>
      <c r="B38" s="115" t="s">
        <v>26</v>
      </c>
      <c r="C38" s="117">
        <f>'Custo por trabalhador'!B128</f>
        <v>2E-3</v>
      </c>
      <c r="D38" s="135">
        <f t="shared" si="0"/>
        <v>6.3679527949074073</v>
      </c>
    </row>
    <row r="39" spans="1:4" ht="16.5" thickBot="1" x14ac:dyDescent="0.3">
      <c r="A39" s="114" t="s">
        <v>183</v>
      </c>
      <c r="B39" s="115" t="s">
        <v>27</v>
      </c>
      <c r="C39" s="117">
        <f>'Custo por trabalhador'!B129</f>
        <v>0.08</v>
      </c>
      <c r="D39" s="135">
        <f t="shared" si="0"/>
        <v>254.71811179629628</v>
      </c>
    </row>
    <row r="40" spans="1:4" ht="16.5" thickBot="1" x14ac:dyDescent="0.3">
      <c r="A40" s="399" t="s">
        <v>184</v>
      </c>
      <c r="B40" s="400"/>
      <c r="C40" s="117">
        <f>'Custo por trabalhador'!B130</f>
        <v>0.39800000000000008</v>
      </c>
      <c r="D40" s="141">
        <f>SUM(D32:D39)</f>
        <v>1267.222606186574</v>
      </c>
    </row>
    <row r="41" spans="1:4" ht="15.75" x14ac:dyDescent="0.25">
      <c r="A41" s="120"/>
      <c r="B41" s="120"/>
      <c r="C41" s="120"/>
      <c r="D41" s="120"/>
    </row>
    <row r="42" spans="1:4" ht="15.75" x14ac:dyDescent="0.25">
      <c r="A42" s="398" t="s">
        <v>185</v>
      </c>
      <c r="B42" s="398"/>
      <c r="C42" s="398"/>
      <c r="D42" s="120"/>
    </row>
    <row r="43" spans="1:4" ht="16.5" thickBot="1" x14ac:dyDescent="0.3">
      <c r="A43" s="120"/>
      <c r="B43" s="120"/>
      <c r="C43" s="120"/>
      <c r="D43" s="120"/>
    </row>
    <row r="44" spans="1:4" ht="16.5" thickBot="1" x14ac:dyDescent="0.3">
      <c r="A44" s="112" t="s">
        <v>186</v>
      </c>
      <c r="B44" s="113" t="s">
        <v>187</v>
      </c>
      <c r="C44" s="113" t="s">
        <v>159</v>
      </c>
      <c r="D44" s="120"/>
    </row>
    <row r="45" spans="1:4" ht="16.5" thickBot="1" x14ac:dyDescent="0.3">
      <c r="A45" s="114" t="s">
        <v>160</v>
      </c>
      <c r="B45" s="115" t="str">
        <f>'Custo por trabalhador'!B242</f>
        <v>Vale Transporte - Cláusula 16ª CCT 2024/2026</v>
      </c>
      <c r="C45" s="135">
        <f>'Custo por trabalhador'!B244</f>
        <v>0</v>
      </c>
      <c r="D45" s="120"/>
    </row>
    <row r="46" spans="1:4" ht="16.5" thickBot="1" x14ac:dyDescent="0.3">
      <c r="A46" s="114" t="s">
        <v>161</v>
      </c>
      <c r="B46" s="115" t="str">
        <f>'Custo por trabalhador'!C242</f>
        <v>Vale Refeição - Cláusula 15ª CCT 2024/2026</v>
      </c>
      <c r="C46" s="135">
        <f>'Custo por trabalhador'!C244</f>
        <v>471.96069999999997</v>
      </c>
      <c r="D46" s="120"/>
    </row>
    <row r="47" spans="1:4" ht="16.5" thickBot="1" x14ac:dyDescent="0.3">
      <c r="A47" s="114" t="s">
        <v>162</v>
      </c>
      <c r="B47" s="115" t="str">
        <f>'Custo por trabalhador'!D242</f>
        <v xml:space="preserve"> Card Saúde- Abraps Bombank - Clausula 58º CCT 2024/2026</v>
      </c>
      <c r="C47" s="135">
        <f>'Custo por trabalhador'!D244</f>
        <v>83.88</v>
      </c>
      <c r="D47" s="120"/>
    </row>
    <row r="48" spans="1:4" ht="16.5" thickBot="1" x14ac:dyDescent="0.3">
      <c r="A48" s="114" t="s">
        <v>163</v>
      </c>
      <c r="B48" s="115" t="s">
        <v>167</v>
      </c>
      <c r="C48" s="135">
        <f>'Custo por trabalhador'!E244</f>
        <v>0</v>
      </c>
      <c r="D48" s="120"/>
    </row>
    <row r="49" spans="1:4" ht="16.5" thickBot="1" x14ac:dyDescent="0.3">
      <c r="A49" s="399" t="s">
        <v>12</v>
      </c>
      <c r="B49" s="400"/>
      <c r="C49" s="141">
        <f>SUM(C45:C48)</f>
        <v>555.84069999999997</v>
      </c>
      <c r="D49" s="120"/>
    </row>
    <row r="50" spans="1:4" ht="15.75" x14ac:dyDescent="0.25">
      <c r="A50" s="120"/>
      <c r="B50" s="120"/>
      <c r="C50" s="120"/>
      <c r="D50" s="120"/>
    </row>
    <row r="51" spans="1:4" ht="15.75" x14ac:dyDescent="0.25">
      <c r="A51" s="398" t="s">
        <v>188</v>
      </c>
      <c r="B51" s="398"/>
      <c r="C51" s="398"/>
      <c r="D51" s="120"/>
    </row>
    <row r="52" spans="1:4" ht="16.5" thickBot="1" x14ac:dyDescent="0.3">
      <c r="A52" s="120"/>
      <c r="B52" s="120"/>
      <c r="C52" s="120"/>
      <c r="D52" s="120"/>
    </row>
    <row r="53" spans="1:4" ht="16.5" thickBot="1" x14ac:dyDescent="0.3">
      <c r="A53" s="112">
        <v>2</v>
      </c>
      <c r="B53" s="113" t="s">
        <v>189</v>
      </c>
      <c r="C53" s="113" t="s">
        <v>159</v>
      </c>
      <c r="D53" s="120"/>
    </row>
    <row r="54" spans="1:4" ht="16.5" thickBot="1" x14ac:dyDescent="0.3">
      <c r="A54" s="114" t="s">
        <v>170</v>
      </c>
      <c r="B54" s="115" t="s">
        <v>171</v>
      </c>
      <c r="C54" s="135">
        <f>'Custo por trabalhador'!E111</f>
        <v>518.32173912037035</v>
      </c>
      <c r="D54" s="120"/>
    </row>
    <row r="55" spans="1:4" ht="16.5" thickBot="1" x14ac:dyDescent="0.3">
      <c r="A55" s="114" t="s">
        <v>175</v>
      </c>
      <c r="B55" s="115" t="s">
        <v>176</v>
      </c>
      <c r="C55" s="135">
        <f>'Custo por trabalhador'!D153</f>
        <v>1267.2226061865742</v>
      </c>
      <c r="D55" s="120"/>
    </row>
    <row r="56" spans="1:4" ht="16.5" thickBot="1" x14ac:dyDescent="0.3">
      <c r="A56" s="114" t="s">
        <v>186</v>
      </c>
      <c r="B56" s="115" t="s">
        <v>187</v>
      </c>
      <c r="C56" s="135">
        <f>'Custo por trabalhador'!F244</f>
        <v>555.84069999999997</v>
      </c>
      <c r="D56" s="120"/>
    </row>
    <row r="57" spans="1:4" ht="16.5" thickBot="1" x14ac:dyDescent="0.3">
      <c r="A57" s="399" t="s">
        <v>12</v>
      </c>
      <c r="B57" s="400"/>
      <c r="C57" s="141">
        <f>SUM(C54:C56)</f>
        <v>2341.3850453069444</v>
      </c>
      <c r="D57" s="120"/>
    </row>
    <row r="58" spans="1:4" ht="15.75" x14ac:dyDescent="0.25">
      <c r="A58" s="120"/>
      <c r="B58" s="120"/>
      <c r="C58" s="120"/>
      <c r="D58" s="120"/>
    </row>
    <row r="59" spans="1:4" ht="15.75" x14ac:dyDescent="0.25">
      <c r="A59" s="378" t="s">
        <v>190</v>
      </c>
      <c r="B59" s="378"/>
      <c r="C59" s="378"/>
      <c r="D59" s="120"/>
    </row>
    <row r="60" spans="1:4" ht="16.5" thickBot="1" x14ac:dyDescent="0.3">
      <c r="A60" s="120"/>
      <c r="B60" s="120"/>
      <c r="C60" s="120"/>
      <c r="D60" s="120"/>
    </row>
    <row r="61" spans="1:4" s="120" customFormat="1" ht="16.5" thickBot="1" x14ac:dyDescent="0.3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75" x14ac:dyDescent="0.25">
      <c r="A62" s="40" t="s">
        <v>160</v>
      </c>
      <c r="B62" s="200" t="s">
        <v>192</v>
      </c>
      <c r="C62" s="201"/>
      <c r="D62" s="202">
        <f>'Custo por trabalhador'!B277</f>
        <v>3183.9763974537036</v>
      </c>
    </row>
    <row r="63" spans="1:4" s="120" customFormat="1" ht="15.75" x14ac:dyDescent="0.25">
      <c r="A63" s="23" t="s">
        <v>161</v>
      </c>
      <c r="B63" s="197" t="s">
        <v>193</v>
      </c>
      <c r="C63" s="199">
        <v>0.08</v>
      </c>
      <c r="D63" s="203">
        <f>'Custo por trabalhador'!C295</f>
        <v>254.71811179629628</v>
      </c>
    </row>
    <row r="64" spans="1:4" s="120" customFormat="1" ht="16.5" thickBot="1" x14ac:dyDescent="0.3">
      <c r="A64" s="24" t="s">
        <v>162</v>
      </c>
      <c r="B64" s="204" t="s">
        <v>194</v>
      </c>
      <c r="C64" s="224">
        <v>0.4</v>
      </c>
      <c r="D64" s="206">
        <f>'Custo por trabalhador'!D295</f>
        <v>101.88724471851852</v>
      </c>
    </row>
    <row r="65" spans="1:26" s="120" customFormat="1" ht="16.5" thickBot="1" x14ac:dyDescent="0.3">
      <c r="A65" s="210"/>
      <c r="B65" s="211" t="s">
        <v>252</v>
      </c>
      <c r="C65" s="229">
        <f>'Custo por trabalhador'!B266</f>
        <v>4.1999999999999997E-3</v>
      </c>
      <c r="D65" s="213">
        <f>'Custo por trabalhador'!F295</f>
        <v>14.870443366667777</v>
      </c>
    </row>
    <row r="66" spans="1:26" s="120" customFormat="1" ht="15.75" x14ac:dyDescent="0.25">
      <c r="A66" s="225" t="s">
        <v>163</v>
      </c>
      <c r="B66" s="226" t="s">
        <v>195</v>
      </c>
      <c r="C66" s="227"/>
      <c r="D66" s="228">
        <f>'Custo por trabalhador'!B324</f>
        <v>3739.8170974537034</v>
      </c>
    </row>
    <row r="67" spans="1:26" s="120" customFormat="1" ht="15.75" x14ac:dyDescent="0.25">
      <c r="A67" s="196" t="s">
        <v>164</v>
      </c>
      <c r="B67" s="197" t="s">
        <v>196</v>
      </c>
      <c r="C67" s="207">
        <f>C40</f>
        <v>0.39800000000000008</v>
      </c>
      <c r="D67" s="198">
        <f>'Custo por trabalhador'!C324</f>
        <v>1267.2226061865742</v>
      </c>
    </row>
    <row r="68" spans="1:26" s="120" customFormat="1" ht="16.5" thickBot="1" x14ac:dyDescent="0.3">
      <c r="A68" s="208" t="s">
        <v>165</v>
      </c>
      <c r="B68" s="204" t="s">
        <v>197</v>
      </c>
      <c r="C68" s="209">
        <v>0.4</v>
      </c>
      <c r="D68" s="205">
        <f>'Custo por trabalhador'!D324</f>
        <v>101.88724471851852</v>
      </c>
    </row>
    <row r="69" spans="1:26" s="120" customFormat="1" ht="16.5" thickBot="1" x14ac:dyDescent="0.3">
      <c r="A69" s="155"/>
      <c r="B69" s="211" t="s">
        <v>253</v>
      </c>
      <c r="C69" s="212">
        <f>'Custo por trabalhador'!E323</f>
        <v>1.9400000000000001E-2</v>
      </c>
      <c r="D69" s="213">
        <f>'Custo por trabalhador'!F324</f>
        <v>99.113182798160651</v>
      </c>
    </row>
    <row r="70" spans="1:26" ht="15.75" customHeight="1" thickBot="1" x14ac:dyDescent="0.3">
      <c r="A70" s="407" t="s">
        <v>12</v>
      </c>
      <c r="B70" s="367"/>
      <c r="C70" s="220"/>
      <c r="D70" s="221">
        <f>D65+D69</f>
        <v>113.98362616482842</v>
      </c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</row>
    <row r="71" spans="1:26" ht="15.75" x14ac:dyDescent="0.25">
      <c r="A71" s="120"/>
      <c r="B71" s="120"/>
      <c r="C71" s="120"/>
      <c r="D71" s="120"/>
    </row>
    <row r="72" spans="1:26" ht="15.75" x14ac:dyDescent="0.25">
      <c r="A72" s="378" t="s">
        <v>198</v>
      </c>
      <c r="B72" s="378"/>
      <c r="C72" s="378"/>
      <c r="D72" s="120"/>
    </row>
    <row r="73" spans="1:26" ht="15.75" x14ac:dyDescent="0.25">
      <c r="A73" s="120"/>
      <c r="B73" s="120"/>
      <c r="C73" s="120"/>
      <c r="D73" s="120"/>
    </row>
    <row r="74" spans="1:26" ht="15.75" x14ac:dyDescent="0.25">
      <c r="A74" s="398" t="s">
        <v>199</v>
      </c>
      <c r="B74" s="398"/>
      <c r="C74" s="398"/>
      <c r="D74" s="120"/>
    </row>
    <row r="75" spans="1:26" ht="16.5" thickBot="1" x14ac:dyDescent="0.3">
      <c r="A75" s="28"/>
      <c r="B75" s="120"/>
      <c r="C75" s="120"/>
      <c r="D75" s="120"/>
    </row>
    <row r="76" spans="1:26" ht="16.5" thickBot="1" x14ac:dyDescent="0.3">
      <c r="A76" s="112" t="s">
        <v>200</v>
      </c>
      <c r="B76" s="113" t="s">
        <v>201</v>
      </c>
      <c r="C76" s="113" t="s">
        <v>159</v>
      </c>
      <c r="D76" s="120"/>
    </row>
    <row r="77" spans="1:26" ht="16.5" thickBot="1" x14ac:dyDescent="0.3">
      <c r="A77" s="114" t="s">
        <v>160</v>
      </c>
      <c r="B77" s="115" t="s">
        <v>201</v>
      </c>
      <c r="C77" s="135">
        <f>'Custo por trabalhador'!B434</f>
        <v>286.54188164656307</v>
      </c>
      <c r="D77" s="120"/>
    </row>
    <row r="78" spans="1:26" ht="16.5" thickBot="1" x14ac:dyDescent="0.3">
      <c r="A78" s="399" t="s">
        <v>184</v>
      </c>
      <c r="B78" s="400"/>
      <c r="C78" s="141">
        <f>SUM(C77:C77)</f>
        <v>286.54188164656307</v>
      </c>
      <c r="D78" s="120"/>
    </row>
    <row r="79" spans="1:26" ht="15.75" x14ac:dyDescent="0.25">
      <c r="A79" s="120"/>
      <c r="B79" s="120"/>
      <c r="C79" s="120"/>
      <c r="D79" s="120"/>
    </row>
    <row r="80" spans="1:26" ht="15.75" x14ac:dyDescent="0.25">
      <c r="A80" s="398" t="s">
        <v>202</v>
      </c>
      <c r="B80" s="398"/>
      <c r="C80" s="398"/>
      <c r="D80" s="120"/>
    </row>
    <row r="81" spans="1:4" ht="16.5" thickBot="1" x14ac:dyDescent="0.3">
      <c r="A81" s="28"/>
      <c r="B81" s="120"/>
      <c r="C81" s="120"/>
      <c r="D81" s="120"/>
    </row>
    <row r="82" spans="1:4" ht="16.5" thickBot="1" x14ac:dyDescent="0.3">
      <c r="A82" s="112" t="s">
        <v>203</v>
      </c>
      <c r="B82" s="113" t="s">
        <v>204</v>
      </c>
      <c r="C82" s="113" t="s">
        <v>159</v>
      </c>
      <c r="D82" s="120"/>
    </row>
    <row r="83" spans="1:4" ht="16.5" thickBot="1" x14ac:dyDescent="0.3">
      <c r="A83" s="114" t="s">
        <v>160</v>
      </c>
      <c r="B83" s="115" t="s">
        <v>227</v>
      </c>
      <c r="C83" s="135">
        <f>'Custo por trabalhador'!C434</f>
        <v>349.16068157762089</v>
      </c>
      <c r="D83" s="120"/>
    </row>
    <row r="84" spans="1:4" ht="16.5" thickBot="1" x14ac:dyDescent="0.3">
      <c r="A84" s="399" t="s">
        <v>12</v>
      </c>
      <c r="B84" s="400"/>
      <c r="C84" s="141">
        <f>SUM(C83)</f>
        <v>349.16068157762089</v>
      </c>
      <c r="D84" s="120"/>
    </row>
    <row r="85" spans="1:4" ht="15.75" x14ac:dyDescent="0.25">
      <c r="A85" s="120"/>
      <c r="B85" s="120"/>
      <c r="C85" s="120"/>
      <c r="D85" s="120"/>
    </row>
    <row r="86" spans="1:4" ht="15.75" x14ac:dyDescent="0.25">
      <c r="A86" s="398" t="s">
        <v>205</v>
      </c>
      <c r="B86" s="398"/>
      <c r="C86" s="398"/>
      <c r="D86" s="120"/>
    </row>
    <row r="87" spans="1:4" ht="16.5" thickBot="1" x14ac:dyDescent="0.3">
      <c r="A87" s="28"/>
      <c r="B87" s="120"/>
      <c r="C87" s="120"/>
      <c r="D87" s="120"/>
    </row>
    <row r="88" spans="1:4" ht="16.5" thickBot="1" x14ac:dyDescent="0.3">
      <c r="A88" s="112">
        <v>4</v>
      </c>
      <c r="B88" s="113" t="s">
        <v>206</v>
      </c>
      <c r="C88" s="113" t="s">
        <v>159</v>
      </c>
      <c r="D88" s="120"/>
    </row>
    <row r="89" spans="1:4" ht="16.5" thickBot="1" x14ac:dyDescent="0.3">
      <c r="A89" s="114" t="s">
        <v>200</v>
      </c>
      <c r="B89" s="115" t="s">
        <v>201</v>
      </c>
      <c r="C89" s="136">
        <f>C78</f>
        <v>286.54188164656307</v>
      </c>
      <c r="D89" s="120"/>
    </row>
    <row r="90" spans="1:4" ht="16.5" thickBot="1" x14ac:dyDescent="0.3">
      <c r="A90" s="114" t="s">
        <v>203</v>
      </c>
      <c r="B90" s="115" t="s">
        <v>204</v>
      </c>
      <c r="C90" s="136">
        <f>C84</f>
        <v>349.16068157762089</v>
      </c>
      <c r="D90" s="120"/>
    </row>
    <row r="91" spans="1:4" ht="16.5" thickBot="1" x14ac:dyDescent="0.3">
      <c r="A91" s="399" t="s">
        <v>12</v>
      </c>
      <c r="B91" s="400"/>
      <c r="C91" s="139">
        <f>SUM(C89:C90)</f>
        <v>635.7025632241839</v>
      </c>
      <c r="D91" s="120"/>
    </row>
    <row r="92" spans="1:4" ht="15.75" x14ac:dyDescent="0.25">
      <c r="A92" s="120"/>
      <c r="B92" s="120"/>
      <c r="C92" s="120"/>
      <c r="D92" s="120"/>
    </row>
    <row r="93" spans="1:4" ht="15.75" x14ac:dyDescent="0.25">
      <c r="A93" s="378" t="s">
        <v>207</v>
      </c>
      <c r="B93" s="378"/>
      <c r="C93" s="378"/>
      <c r="D93" s="120"/>
    </row>
    <row r="94" spans="1:4" ht="16.5" thickBot="1" x14ac:dyDescent="0.3">
      <c r="A94" s="120"/>
      <c r="B94" s="120"/>
      <c r="C94" s="120"/>
      <c r="D94" s="120"/>
    </row>
    <row r="95" spans="1:4" ht="16.5" thickBot="1" x14ac:dyDescent="0.3">
      <c r="A95" s="112">
        <v>5</v>
      </c>
      <c r="B95" s="119" t="s">
        <v>120</v>
      </c>
      <c r="C95" s="113" t="s">
        <v>159</v>
      </c>
      <c r="D95" s="120"/>
    </row>
    <row r="96" spans="1:4" ht="16.5" thickBot="1" x14ac:dyDescent="0.3">
      <c r="A96" s="114" t="s">
        <v>160</v>
      </c>
      <c r="B96" s="115" t="s">
        <v>208</v>
      </c>
      <c r="C96" s="135">
        <f>'Custo por trabalhador'!B507</f>
        <v>256.16666666666669</v>
      </c>
      <c r="D96" s="120"/>
    </row>
    <row r="97" spans="1:4" ht="16.5" thickBot="1" x14ac:dyDescent="0.3">
      <c r="A97" s="114" t="s">
        <v>161</v>
      </c>
      <c r="B97" s="115" t="s">
        <v>209</v>
      </c>
      <c r="C97" s="135">
        <f>'Custo por trabalhador'!C507</f>
        <v>48.236249999999991</v>
      </c>
      <c r="D97" s="120"/>
    </row>
    <row r="98" spans="1:4" ht="16.5" thickBot="1" x14ac:dyDescent="0.3">
      <c r="A98" s="114" t="s">
        <v>162</v>
      </c>
      <c r="B98" s="115" t="s">
        <v>210</v>
      </c>
      <c r="C98" s="135">
        <f>'Custo por trabalhador'!D507</f>
        <v>74.857874999999993</v>
      </c>
      <c r="D98" s="120"/>
    </row>
    <row r="99" spans="1:4" ht="16.5" thickBot="1" x14ac:dyDescent="0.3">
      <c r="A99" s="114" t="s">
        <v>163</v>
      </c>
      <c r="B99" s="115" t="s">
        <v>257</v>
      </c>
      <c r="C99" s="135"/>
      <c r="D99" s="120"/>
    </row>
    <row r="100" spans="1:4" ht="16.5" thickBot="1" x14ac:dyDescent="0.3">
      <c r="A100" s="399" t="s">
        <v>184</v>
      </c>
      <c r="B100" s="400"/>
      <c r="C100" s="141">
        <f>SUM(C96:C99)</f>
        <v>379.26079166666665</v>
      </c>
      <c r="D100" s="120"/>
    </row>
    <row r="101" spans="1:4" ht="15.75" x14ac:dyDescent="0.25">
      <c r="A101" s="120"/>
      <c r="B101" s="120"/>
      <c r="C101" s="120"/>
      <c r="D101" s="120"/>
    </row>
    <row r="102" spans="1:4" ht="15.75" x14ac:dyDescent="0.25">
      <c r="A102" s="378" t="s">
        <v>211</v>
      </c>
      <c r="B102" s="378"/>
      <c r="C102" s="378"/>
      <c r="D102" s="378"/>
    </row>
    <row r="103" spans="1:4" ht="16.5" thickBot="1" x14ac:dyDescent="0.3">
      <c r="A103" s="120"/>
      <c r="B103" s="120"/>
      <c r="C103" s="120"/>
      <c r="D103" s="120"/>
    </row>
    <row r="104" spans="1:4" ht="16.5" thickBot="1" x14ac:dyDescent="0.3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5" thickBot="1" x14ac:dyDescent="0.3">
      <c r="A105" s="114" t="s">
        <v>160</v>
      </c>
      <c r="B105" s="115" t="s">
        <v>138</v>
      </c>
      <c r="C105" s="117">
        <f>'Custo por trabalhador'!B516</f>
        <v>0.03</v>
      </c>
      <c r="D105" s="116"/>
    </row>
    <row r="106" spans="1:4" ht="16.5" thickBot="1" x14ac:dyDescent="0.3">
      <c r="A106" s="114" t="s">
        <v>161</v>
      </c>
      <c r="B106" s="115" t="s">
        <v>140</v>
      </c>
      <c r="C106" s="117">
        <f>'Custo por trabalhador'!B518</f>
        <v>3.2599999999999997E-2</v>
      </c>
      <c r="D106" s="116"/>
    </row>
    <row r="107" spans="1:4" ht="16.5" thickBot="1" x14ac:dyDescent="0.3">
      <c r="A107" s="114" t="s">
        <v>162</v>
      </c>
      <c r="B107" s="115" t="s">
        <v>139</v>
      </c>
      <c r="C107" s="117">
        <f>'Custo por trabalhador'!B517</f>
        <v>8.6499999999999994E-2</v>
      </c>
      <c r="D107" s="116"/>
    </row>
    <row r="108" spans="1:4" ht="16.5" thickBot="1" x14ac:dyDescent="0.3">
      <c r="A108" s="114"/>
      <c r="B108" s="115" t="s">
        <v>212</v>
      </c>
      <c r="C108" s="116"/>
      <c r="D108" s="116"/>
    </row>
    <row r="109" spans="1:4" ht="16.5" thickBot="1" x14ac:dyDescent="0.3">
      <c r="A109" s="114"/>
      <c r="B109" s="115" t="s">
        <v>213</v>
      </c>
      <c r="C109" s="116"/>
      <c r="D109" s="116"/>
    </row>
    <row r="110" spans="1:4" ht="16.5" thickBot="1" x14ac:dyDescent="0.3">
      <c r="A110" s="114"/>
      <c r="B110" s="115" t="s">
        <v>214</v>
      </c>
      <c r="C110" s="116"/>
      <c r="D110" s="116"/>
    </row>
    <row r="111" spans="1:4" ht="16.5" thickBot="1" x14ac:dyDescent="0.3">
      <c r="A111" s="399" t="s">
        <v>184</v>
      </c>
      <c r="B111" s="400"/>
      <c r="C111" s="332">
        <f>'Custo por trabalhador'!C523</f>
        <v>0.16925871268021342</v>
      </c>
      <c r="D111" s="141">
        <f>'Custo por trabalhador'!D523</f>
        <v>987.04636146346593</v>
      </c>
    </row>
    <row r="112" spans="1:4" ht="16.5" thickBot="1" x14ac:dyDescent="0.3">
      <c r="A112" s="120"/>
      <c r="B112" s="120"/>
      <c r="C112" s="120"/>
      <c r="D112" s="120"/>
    </row>
    <row r="113" spans="1:5" s="120" customFormat="1" ht="16.5" thickBot="1" x14ac:dyDescent="0.3">
      <c r="A113" s="341" t="s">
        <v>254</v>
      </c>
      <c r="B113" s="342"/>
      <c r="C113" s="343"/>
    </row>
    <row r="114" spans="1:5" s="120" customFormat="1" ht="16.5" thickBot="1" x14ac:dyDescent="0.3">
      <c r="A114" s="217" t="s">
        <v>160</v>
      </c>
      <c r="B114" s="218" t="s">
        <v>255</v>
      </c>
      <c r="C114" s="219">
        <f>'Custo por trabalhador'!D535</f>
        <v>436.85430145079255</v>
      </c>
    </row>
    <row r="115" spans="1:5" s="120" customFormat="1" ht="15.75" x14ac:dyDescent="0.25">
      <c r="A115" s="90"/>
      <c r="B115" s="90"/>
      <c r="C115" s="90"/>
    </row>
    <row r="116" spans="1:5" s="120" customFormat="1" ht="15.75" x14ac:dyDescent="0.25">
      <c r="A116" s="378" t="s">
        <v>215</v>
      </c>
      <c r="B116" s="378"/>
      <c r="C116" s="378"/>
    </row>
    <row r="117" spans="1:5" s="120" customFormat="1" ht="16.5" thickBot="1" x14ac:dyDescent="0.3"/>
    <row r="118" spans="1:5" s="120" customFormat="1" ht="16.5" thickBot="1" x14ac:dyDescent="0.3">
      <c r="A118" s="112"/>
      <c r="B118" s="113" t="s">
        <v>216</v>
      </c>
      <c r="C118" s="113" t="s">
        <v>159</v>
      </c>
    </row>
    <row r="119" spans="1:5" s="120" customFormat="1" ht="16.5" thickBot="1" x14ac:dyDescent="0.3">
      <c r="A119" s="121" t="s">
        <v>160</v>
      </c>
      <c r="B119" s="115" t="s">
        <v>157</v>
      </c>
      <c r="C119" s="142">
        <f>C18</f>
        <v>2665.6546583333334</v>
      </c>
    </row>
    <row r="120" spans="1:5" s="120" customFormat="1" ht="16.5" thickBot="1" x14ac:dyDescent="0.3">
      <c r="A120" s="121" t="s">
        <v>161</v>
      </c>
      <c r="B120" s="115" t="s">
        <v>168</v>
      </c>
      <c r="C120" s="142">
        <f>C57</f>
        <v>2341.3850453069444</v>
      </c>
    </row>
    <row r="121" spans="1:5" s="120" customFormat="1" ht="16.5" thickBot="1" x14ac:dyDescent="0.3">
      <c r="A121" s="121" t="s">
        <v>162</v>
      </c>
      <c r="B121" s="115" t="s">
        <v>190</v>
      </c>
      <c r="C121" s="142">
        <f>D70</f>
        <v>113.98362616482842</v>
      </c>
    </row>
    <row r="122" spans="1:5" s="120" customFormat="1" ht="16.5" thickBot="1" x14ac:dyDescent="0.3">
      <c r="A122" s="121" t="s">
        <v>163</v>
      </c>
      <c r="B122" s="115" t="s">
        <v>198</v>
      </c>
      <c r="C122" s="142">
        <f>C91</f>
        <v>635.7025632241839</v>
      </c>
    </row>
    <row r="123" spans="1:5" s="120" customFormat="1" ht="16.5" thickBot="1" x14ac:dyDescent="0.3">
      <c r="A123" s="121" t="s">
        <v>164</v>
      </c>
      <c r="B123" s="115" t="s">
        <v>207</v>
      </c>
      <c r="C123" s="142">
        <f>C100</f>
        <v>379.26079166666665</v>
      </c>
    </row>
    <row r="124" spans="1:5" s="120" customFormat="1" ht="16.5" thickBot="1" x14ac:dyDescent="0.3">
      <c r="A124" s="399" t="s">
        <v>217</v>
      </c>
      <c r="B124" s="400"/>
      <c r="C124" s="143">
        <f>ROUND(SUM(C119:C123),(2))</f>
        <v>6135.99</v>
      </c>
    </row>
    <row r="125" spans="1:5" s="120" customFormat="1" ht="16.5" thickBot="1" x14ac:dyDescent="0.3">
      <c r="A125" s="133" t="s">
        <v>165</v>
      </c>
      <c r="B125" s="134" t="s">
        <v>218</v>
      </c>
      <c r="C125" s="144">
        <f>D111</f>
        <v>987.04636146346593</v>
      </c>
    </row>
    <row r="126" spans="1:5" s="120" customFormat="1" ht="16.5" thickBot="1" x14ac:dyDescent="0.3">
      <c r="A126" s="133" t="s">
        <v>166</v>
      </c>
      <c r="B126" s="134" t="s">
        <v>255</v>
      </c>
      <c r="C126" s="144">
        <f>C114</f>
        <v>436.85430145079255</v>
      </c>
    </row>
    <row r="127" spans="1:5" s="120" customFormat="1" ht="16.5" thickBot="1" x14ac:dyDescent="0.3">
      <c r="A127" s="392" t="s">
        <v>219</v>
      </c>
      <c r="B127" s="393"/>
      <c r="C127" s="148">
        <f>ROUND(SUM(C119:C123,C125:C126),(2))</f>
        <v>7559.89</v>
      </c>
      <c r="E127" s="145"/>
    </row>
    <row r="128" spans="1:5" s="120" customFormat="1" ht="16.5" thickBot="1" x14ac:dyDescent="0.3">
      <c r="A128" s="392" t="s">
        <v>239</v>
      </c>
      <c r="B128" s="393"/>
      <c r="C128" s="148">
        <f>ROUND((C127),(2))*2</f>
        <v>15119.78</v>
      </c>
    </row>
    <row r="129" spans="1:4" s="120" customFormat="1" ht="15.75" x14ac:dyDescent="0.25"/>
    <row r="130" spans="1:4" ht="15.75" x14ac:dyDescent="0.25">
      <c r="A130" s="120"/>
      <c r="B130" s="120"/>
      <c r="C130" s="120"/>
      <c r="D130" s="120"/>
    </row>
    <row r="132" spans="1:4" x14ac:dyDescent="0.25">
      <c r="D132" s="149"/>
    </row>
  </sheetData>
  <mergeCells count="34">
    <mergeCell ref="A1:D1"/>
    <mergeCell ref="A2:D2"/>
    <mergeCell ref="A3:D3"/>
    <mergeCell ref="A8:C8"/>
    <mergeCell ref="A18:B18"/>
    <mergeCell ref="A5:C5"/>
    <mergeCell ref="A6:C6"/>
    <mergeCell ref="A40:B40"/>
    <mergeCell ref="A72:C72"/>
    <mergeCell ref="A20:C20"/>
    <mergeCell ref="A29:D29"/>
    <mergeCell ref="A74:C74"/>
    <mergeCell ref="A42:C42"/>
    <mergeCell ref="A22:C22"/>
    <mergeCell ref="A27:B27"/>
    <mergeCell ref="A49:B49"/>
    <mergeCell ref="A51:C51"/>
    <mergeCell ref="A57:B57"/>
    <mergeCell ref="A59:C59"/>
    <mergeCell ref="A113:C113"/>
    <mergeCell ref="A116:C116"/>
    <mergeCell ref="A124:B124"/>
    <mergeCell ref="A127:B127"/>
    <mergeCell ref="A128:B128"/>
    <mergeCell ref="A111:B111"/>
    <mergeCell ref="A70:B70"/>
    <mergeCell ref="A102:D102"/>
    <mergeCell ref="A78:B78"/>
    <mergeCell ref="A80:C80"/>
    <mergeCell ref="A84:B84"/>
    <mergeCell ref="A86:C86"/>
    <mergeCell ref="A91:B91"/>
    <mergeCell ref="A93:C93"/>
    <mergeCell ref="A100:B10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workbookViewId="0">
      <selection activeCell="J12" sqref="J12"/>
    </sheetView>
  </sheetViews>
  <sheetFormatPr defaultRowHeight="15" x14ac:dyDescent="0.25"/>
  <cols>
    <col min="1" max="1" width="10.7109375" customWidth="1"/>
    <col min="2" max="2" width="29.285156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7" x14ac:dyDescent="0.25">
      <c r="A1" t="s">
        <v>109</v>
      </c>
    </row>
    <row r="2" spans="1:7" ht="15.75" thickBot="1" x14ac:dyDescent="0.3"/>
    <row r="3" spans="1:7" ht="15.75" thickBot="1" x14ac:dyDescent="0.3">
      <c r="A3" s="418" t="s">
        <v>308</v>
      </c>
      <c r="B3" s="419"/>
      <c r="C3" s="419"/>
      <c r="D3" s="419"/>
      <c r="E3" s="419"/>
      <c r="F3" s="419"/>
      <c r="G3" s="420"/>
    </row>
    <row r="4" spans="1:7" ht="29.25" thickBot="1" x14ac:dyDescent="0.3">
      <c r="A4" s="264" t="s">
        <v>144</v>
      </c>
      <c r="B4" s="265" t="s">
        <v>270</v>
      </c>
      <c r="C4" s="265" t="s">
        <v>271</v>
      </c>
      <c r="D4" s="265" t="s">
        <v>272</v>
      </c>
      <c r="E4" s="266" t="s">
        <v>273</v>
      </c>
      <c r="F4" s="267" t="s">
        <v>274</v>
      </c>
      <c r="G4" s="268" t="s">
        <v>286</v>
      </c>
    </row>
    <row r="5" spans="1:7" x14ac:dyDescent="0.25">
      <c r="A5" s="261">
        <v>1</v>
      </c>
      <c r="B5" s="259" t="s">
        <v>147</v>
      </c>
      <c r="C5" s="257" t="s">
        <v>275</v>
      </c>
      <c r="D5" s="257">
        <v>4</v>
      </c>
      <c r="E5" s="258">
        <v>133.25</v>
      </c>
      <c r="F5" s="321">
        <f>D5*E5</f>
        <v>533</v>
      </c>
      <c r="G5" s="322">
        <f>F5/12</f>
        <v>44.416666666666664</v>
      </c>
    </row>
    <row r="6" spans="1:7" x14ac:dyDescent="0.25">
      <c r="A6" s="261">
        <f t="shared" ref="A6:A14" si="0">A5+1</f>
        <v>2</v>
      </c>
      <c r="B6" s="259" t="s">
        <v>148</v>
      </c>
      <c r="C6" s="257" t="s">
        <v>275</v>
      </c>
      <c r="D6" s="257">
        <v>4</v>
      </c>
      <c r="E6" s="258">
        <v>150.79</v>
      </c>
      <c r="F6" s="320">
        <f>D6*E6</f>
        <v>603.16</v>
      </c>
      <c r="G6" s="319">
        <f>F6/12</f>
        <v>50.263333333333328</v>
      </c>
    </row>
    <row r="7" spans="1:7" x14ac:dyDescent="0.25">
      <c r="A7" s="261">
        <f t="shared" si="0"/>
        <v>3</v>
      </c>
      <c r="B7" s="259" t="s">
        <v>278</v>
      </c>
      <c r="C7" s="257" t="s">
        <v>276</v>
      </c>
      <c r="D7" s="257">
        <v>2</v>
      </c>
      <c r="E7" s="258">
        <v>306.23</v>
      </c>
      <c r="F7" s="320">
        <f t="shared" ref="F7:F14" si="1">D7*E7</f>
        <v>612.46</v>
      </c>
      <c r="G7" s="319">
        <f t="shared" ref="G7:G14" si="2">F7/12</f>
        <v>51.038333333333334</v>
      </c>
    </row>
    <row r="8" spans="1:7" x14ac:dyDescent="0.25">
      <c r="A8" s="261">
        <f t="shared" si="0"/>
        <v>4</v>
      </c>
      <c r="B8" s="259" t="s">
        <v>279</v>
      </c>
      <c r="C8" s="257" t="s">
        <v>275</v>
      </c>
      <c r="D8" s="257">
        <v>2</v>
      </c>
      <c r="E8" s="258">
        <v>41.33</v>
      </c>
      <c r="F8" s="320">
        <f t="shared" si="1"/>
        <v>82.66</v>
      </c>
      <c r="G8" s="319">
        <f t="shared" si="2"/>
        <v>6.8883333333333328</v>
      </c>
    </row>
    <row r="9" spans="1:7" x14ac:dyDescent="0.25">
      <c r="A9" s="261">
        <f t="shared" si="0"/>
        <v>5</v>
      </c>
      <c r="B9" s="259" t="s">
        <v>280</v>
      </c>
      <c r="C9" s="257" t="s">
        <v>275</v>
      </c>
      <c r="D9" s="257">
        <v>4</v>
      </c>
      <c r="E9" s="258">
        <v>38.049999999999997</v>
      </c>
      <c r="F9" s="320">
        <f t="shared" si="1"/>
        <v>152.19999999999999</v>
      </c>
      <c r="G9" s="319">
        <f t="shared" si="2"/>
        <v>12.683333333333332</v>
      </c>
    </row>
    <row r="10" spans="1:7" x14ac:dyDescent="0.25">
      <c r="A10" s="261">
        <f t="shared" si="0"/>
        <v>6</v>
      </c>
      <c r="B10" s="259" t="s">
        <v>281</v>
      </c>
      <c r="C10" s="257" t="s">
        <v>275</v>
      </c>
      <c r="D10" s="257">
        <v>2</v>
      </c>
      <c r="E10" s="258">
        <v>259.7</v>
      </c>
      <c r="F10" s="320">
        <f t="shared" si="1"/>
        <v>519.4</v>
      </c>
      <c r="G10" s="319">
        <f t="shared" si="2"/>
        <v>43.283333333333331</v>
      </c>
    </row>
    <row r="11" spans="1:7" x14ac:dyDescent="0.25">
      <c r="A11" s="261">
        <f t="shared" si="0"/>
        <v>7</v>
      </c>
      <c r="B11" s="259" t="s">
        <v>282</v>
      </c>
      <c r="C11" s="257" t="s">
        <v>276</v>
      </c>
      <c r="D11" s="257">
        <v>4</v>
      </c>
      <c r="E11" s="258">
        <v>2</v>
      </c>
      <c r="F11" s="320">
        <f t="shared" si="1"/>
        <v>8</v>
      </c>
      <c r="G11" s="319">
        <f t="shared" si="2"/>
        <v>0.66666666666666663</v>
      </c>
    </row>
    <row r="12" spans="1:7" x14ac:dyDescent="0.25">
      <c r="A12" s="261">
        <f t="shared" si="0"/>
        <v>8</v>
      </c>
      <c r="B12" s="259" t="s">
        <v>283</v>
      </c>
      <c r="C12" s="257" t="s">
        <v>275</v>
      </c>
      <c r="D12" s="257">
        <v>2</v>
      </c>
      <c r="E12" s="258">
        <v>9.56</v>
      </c>
      <c r="F12" s="320">
        <f t="shared" si="1"/>
        <v>19.12</v>
      </c>
      <c r="G12" s="319">
        <f t="shared" si="2"/>
        <v>1.5933333333333335</v>
      </c>
    </row>
    <row r="13" spans="1:7" x14ac:dyDescent="0.25">
      <c r="A13" s="261">
        <f t="shared" si="0"/>
        <v>9</v>
      </c>
      <c r="B13" s="259" t="s">
        <v>284</v>
      </c>
      <c r="C13" s="257" t="s">
        <v>275</v>
      </c>
      <c r="D13" s="257">
        <v>2</v>
      </c>
      <c r="E13" s="258">
        <v>28.38</v>
      </c>
      <c r="F13" s="320">
        <f t="shared" si="1"/>
        <v>56.76</v>
      </c>
      <c r="G13" s="319">
        <f t="shared" si="2"/>
        <v>4.7299999999999995</v>
      </c>
    </row>
    <row r="14" spans="1:7" x14ac:dyDescent="0.25">
      <c r="A14" s="261">
        <f t="shared" si="0"/>
        <v>10</v>
      </c>
      <c r="B14" s="259" t="s">
        <v>285</v>
      </c>
      <c r="C14" s="257" t="s">
        <v>275</v>
      </c>
      <c r="D14" s="257">
        <v>2</v>
      </c>
      <c r="E14" s="258">
        <v>243.62</v>
      </c>
      <c r="F14" s="320">
        <f t="shared" si="1"/>
        <v>487.24</v>
      </c>
      <c r="G14" s="319">
        <f t="shared" si="2"/>
        <v>40.603333333333332</v>
      </c>
    </row>
    <row r="15" spans="1:7" ht="15.75" thickBot="1" x14ac:dyDescent="0.3">
      <c r="A15" s="269"/>
      <c r="B15" s="270" t="s">
        <v>12</v>
      </c>
      <c r="C15" s="271"/>
      <c r="D15" s="270"/>
      <c r="E15" s="272">
        <f>SUM(E5:E14)</f>
        <v>1212.9099999999999</v>
      </c>
      <c r="F15" s="260">
        <f>SUM(F5:F14)</f>
        <v>3074</v>
      </c>
      <c r="G15" s="273">
        <f>SUM(G5:G14)</f>
        <v>256.16666666666663</v>
      </c>
    </row>
    <row r="16" spans="1:7" ht="15.75" x14ac:dyDescent="0.25">
      <c r="A16" s="414" t="s">
        <v>287</v>
      </c>
      <c r="B16" s="415"/>
      <c r="C16" s="415"/>
      <c r="D16" s="415"/>
      <c r="E16" s="415"/>
      <c r="F16" s="415"/>
      <c r="G16" s="274">
        <f>F15</f>
        <v>3074</v>
      </c>
    </row>
    <row r="17" spans="1:7" ht="16.5" thickBot="1" x14ac:dyDescent="0.3">
      <c r="A17" s="416" t="s">
        <v>277</v>
      </c>
      <c r="B17" s="417"/>
      <c r="C17" s="417"/>
      <c r="D17" s="417"/>
      <c r="E17" s="417"/>
      <c r="F17" s="417"/>
      <c r="G17" s="275">
        <f>G16/12</f>
        <v>256.16666666666669</v>
      </c>
    </row>
  </sheetData>
  <mergeCells count="3">
    <mergeCell ref="A16:F16"/>
    <mergeCell ref="A17:F17"/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workbookViewId="0">
      <selection activeCell="F24" sqref="F24"/>
    </sheetView>
  </sheetViews>
  <sheetFormatPr defaultRowHeight="15" x14ac:dyDescent="0.25"/>
  <cols>
    <col min="1" max="1" width="10.7109375" customWidth="1"/>
    <col min="2" max="2" width="35.425781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7" x14ac:dyDescent="0.25">
      <c r="A1" t="s">
        <v>109</v>
      </c>
    </row>
    <row r="2" spans="1:7" ht="15.75" thickBot="1" x14ac:dyDescent="0.3"/>
    <row r="3" spans="1:7" ht="15.75" thickBot="1" x14ac:dyDescent="0.3">
      <c r="A3" s="418" t="s">
        <v>307</v>
      </c>
      <c r="B3" s="419"/>
      <c r="C3" s="419"/>
      <c r="D3" s="419"/>
      <c r="E3" s="419"/>
      <c r="F3" s="419"/>
      <c r="G3" s="420"/>
    </row>
    <row r="4" spans="1:7" ht="29.25" thickBot="1" x14ac:dyDescent="0.3">
      <c r="A4" s="264" t="s">
        <v>144</v>
      </c>
      <c r="B4" s="265" t="s">
        <v>270</v>
      </c>
      <c r="C4" s="265" t="s">
        <v>271</v>
      </c>
      <c r="D4" s="265" t="s">
        <v>272</v>
      </c>
      <c r="E4" s="266" t="s">
        <v>273</v>
      </c>
      <c r="F4" s="267" t="s">
        <v>274</v>
      </c>
      <c r="G4" s="268" t="s">
        <v>286</v>
      </c>
    </row>
    <row r="5" spans="1:7" x14ac:dyDescent="0.25">
      <c r="A5" s="261">
        <v>1</v>
      </c>
      <c r="B5" s="259" t="s">
        <v>288</v>
      </c>
      <c r="C5" s="257" t="s">
        <v>275</v>
      </c>
      <c r="D5" s="257">
        <v>1</v>
      </c>
      <c r="E5" s="258">
        <v>107.76</v>
      </c>
      <c r="F5" s="321">
        <f>D5*E5</f>
        <v>107.76</v>
      </c>
      <c r="G5" s="322">
        <f>F5/12</f>
        <v>8.98</v>
      </c>
    </row>
    <row r="6" spans="1:7" x14ac:dyDescent="0.25">
      <c r="A6" s="261">
        <f t="shared" ref="A6:A14" si="0">A5+1</f>
        <v>2</v>
      </c>
      <c r="B6" s="259" t="s">
        <v>289</v>
      </c>
      <c r="C6" s="257" t="s">
        <v>275</v>
      </c>
      <c r="D6" s="257">
        <v>2</v>
      </c>
      <c r="E6" s="258">
        <v>34.380000000000003</v>
      </c>
      <c r="F6" s="320">
        <f>D6*E6</f>
        <v>68.760000000000005</v>
      </c>
      <c r="G6" s="319">
        <f>F6/12</f>
        <v>5.73</v>
      </c>
    </row>
    <row r="7" spans="1:7" x14ac:dyDescent="0.25">
      <c r="A7" s="261">
        <f t="shared" si="0"/>
        <v>3</v>
      </c>
      <c r="B7" s="259" t="s">
        <v>290</v>
      </c>
      <c r="C7" s="257" t="s">
        <v>275</v>
      </c>
      <c r="D7" s="257">
        <v>1</v>
      </c>
      <c r="E7" s="258">
        <v>42.63</v>
      </c>
      <c r="F7" s="320">
        <f t="shared" ref="F7:F14" si="1">D7*E7</f>
        <v>42.63</v>
      </c>
      <c r="G7" s="319">
        <f t="shared" ref="G7:G14" si="2">F7/12</f>
        <v>3.5525000000000002</v>
      </c>
    </row>
    <row r="8" spans="1:7" x14ac:dyDescent="0.25">
      <c r="A8" s="261">
        <f t="shared" si="0"/>
        <v>4</v>
      </c>
      <c r="B8" s="259" t="s">
        <v>291</v>
      </c>
      <c r="C8" s="257" t="s">
        <v>275</v>
      </c>
      <c r="D8" s="257">
        <v>1</v>
      </c>
      <c r="E8" s="258">
        <v>26.61</v>
      </c>
      <c r="F8" s="320">
        <f t="shared" si="1"/>
        <v>26.61</v>
      </c>
      <c r="G8" s="319">
        <f t="shared" si="2"/>
        <v>2.2174999999999998</v>
      </c>
    </row>
    <row r="9" spans="1:7" x14ac:dyDescent="0.25">
      <c r="A9" s="261">
        <f t="shared" si="0"/>
        <v>5</v>
      </c>
      <c r="B9" s="259" t="s">
        <v>292</v>
      </c>
      <c r="C9" s="257" t="s">
        <v>275</v>
      </c>
      <c r="D9" s="257">
        <v>4</v>
      </c>
      <c r="E9" s="258">
        <v>9.6300000000000008</v>
      </c>
      <c r="F9" s="320">
        <f t="shared" si="1"/>
        <v>38.520000000000003</v>
      </c>
      <c r="G9" s="319">
        <f t="shared" si="2"/>
        <v>3.2100000000000004</v>
      </c>
    </row>
    <row r="10" spans="1:7" x14ac:dyDescent="0.25">
      <c r="A10" s="261">
        <f t="shared" si="0"/>
        <v>6</v>
      </c>
      <c r="B10" s="259" t="s">
        <v>293</v>
      </c>
      <c r="C10" s="257" t="s">
        <v>275</v>
      </c>
      <c r="D10" s="257">
        <v>1</v>
      </c>
      <c r="E10" s="258">
        <v>73.86</v>
      </c>
      <c r="F10" s="320">
        <f t="shared" si="1"/>
        <v>73.86</v>
      </c>
      <c r="G10" s="319">
        <f t="shared" si="2"/>
        <v>6.1550000000000002</v>
      </c>
    </row>
    <row r="11" spans="1:7" x14ac:dyDescent="0.25">
      <c r="A11" s="261">
        <f t="shared" si="0"/>
        <v>7</v>
      </c>
      <c r="B11" s="259" t="s">
        <v>294</v>
      </c>
      <c r="C11" s="257" t="s">
        <v>275</v>
      </c>
      <c r="D11" s="257">
        <v>12</v>
      </c>
      <c r="E11" s="258">
        <v>8.91</v>
      </c>
      <c r="F11" s="320">
        <f t="shared" si="1"/>
        <v>106.92</v>
      </c>
      <c r="G11" s="319">
        <f t="shared" si="2"/>
        <v>8.91</v>
      </c>
    </row>
    <row r="12" spans="1:7" x14ac:dyDescent="0.25">
      <c r="A12" s="261">
        <f t="shared" si="0"/>
        <v>8</v>
      </c>
      <c r="B12" s="259" t="s">
        <v>297</v>
      </c>
      <c r="C12" s="257" t="s">
        <v>275</v>
      </c>
      <c r="D12" s="257">
        <v>1</v>
      </c>
      <c r="E12" s="258">
        <v>684.98</v>
      </c>
      <c r="F12" s="320">
        <f t="shared" ref="F12" si="3">D12*E12</f>
        <v>684.98</v>
      </c>
      <c r="G12" s="319">
        <f t="shared" si="2"/>
        <v>57.081666666666671</v>
      </c>
    </row>
    <row r="13" spans="1:7" x14ac:dyDescent="0.25">
      <c r="A13" s="261">
        <f t="shared" si="0"/>
        <v>9</v>
      </c>
      <c r="B13" s="259" t="s">
        <v>298</v>
      </c>
      <c r="C13" s="257" t="s">
        <v>275</v>
      </c>
      <c r="D13" s="257">
        <v>1</v>
      </c>
      <c r="E13" s="258">
        <v>6.12</v>
      </c>
      <c r="F13" s="320">
        <f t="shared" ref="F13" si="4">D13*E13</f>
        <v>6.12</v>
      </c>
      <c r="G13" s="319">
        <f t="shared" si="2"/>
        <v>0.51</v>
      </c>
    </row>
    <row r="14" spans="1:7" x14ac:dyDescent="0.25">
      <c r="A14" s="261">
        <f t="shared" si="0"/>
        <v>10</v>
      </c>
      <c r="B14" s="259" t="s">
        <v>299</v>
      </c>
      <c r="C14" s="257" t="s">
        <v>275</v>
      </c>
      <c r="D14" s="257">
        <v>1</v>
      </c>
      <c r="E14" s="258">
        <v>1.51</v>
      </c>
      <c r="F14" s="320">
        <f t="shared" si="1"/>
        <v>1.51</v>
      </c>
      <c r="G14" s="319">
        <f t="shared" si="2"/>
        <v>0.12583333333333332</v>
      </c>
    </row>
    <row r="15" spans="1:7" ht="15.75" thickBot="1" x14ac:dyDescent="0.3">
      <c r="A15" s="269"/>
      <c r="B15" s="270" t="s">
        <v>12</v>
      </c>
      <c r="C15" s="271"/>
      <c r="D15" s="270"/>
      <c r="E15" s="272">
        <f>SUM(E5:E14)</f>
        <v>996.39</v>
      </c>
      <c r="F15" s="260">
        <f>SUM(F5:F14)</f>
        <v>1157.6699999999998</v>
      </c>
      <c r="G15" s="273">
        <f>SUM(G5:G14)</f>
        <v>96.472500000000011</v>
      </c>
    </row>
    <row r="16" spans="1:7" ht="16.5" thickBot="1" x14ac:dyDescent="0.3">
      <c r="A16" s="421" t="s">
        <v>311</v>
      </c>
      <c r="B16" s="422"/>
      <c r="C16" s="422"/>
      <c r="D16" s="422"/>
      <c r="E16" s="422"/>
      <c r="F16" s="422"/>
      <c r="G16" s="274">
        <f>F15/2</f>
        <v>578.83499999999992</v>
      </c>
    </row>
    <row r="17" spans="1:7" ht="16.5" thickBot="1" x14ac:dyDescent="0.3">
      <c r="A17" s="423" t="s">
        <v>312</v>
      </c>
      <c r="B17" s="424"/>
      <c r="C17" s="424"/>
      <c r="D17" s="424"/>
      <c r="E17" s="424"/>
      <c r="F17" s="424"/>
      <c r="G17" s="276">
        <f>G16/12</f>
        <v>48.236249999999991</v>
      </c>
    </row>
  </sheetData>
  <mergeCells count="3">
    <mergeCell ref="A3:G3"/>
    <mergeCell ref="A16:F16"/>
    <mergeCell ref="A17:F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"/>
  <sheetViews>
    <sheetView workbookViewId="0">
      <selection activeCell="G9" sqref="G8:G9"/>
    </sheetView>
  </sheetViews>
  <sheetFormatPr defaultRowHeight="15" x14ac:dyDescent="0.25"/>
  <cols>
    <col min="1" max="1" width="10.7109375" customWidth="1"/>
    <col min="2" max="2" width="29.28515625" customWidth="1"/>
    <col min="3" max="3" width="18.28515625" customWidth="1"/>
    <col min="4" max="4" width="18.140625" customWidth="1"/>
    <col min="5" max="5" width="14.28515625" customWidth="1"/>
    <col min="6" max="6" width="16.28515625" customWidth="1"/>
    <col min="7" max="7" width="15.42578125" customWidth="1"/>
  </cols>
  <sheetData>
    <row r="1" spans="1:6" x14ac:dyDescent="0.25">
      <c r="A1" t="s">
        <v>109</v>
      </c>
    </row>
    <row r="2" spans="1:6" ht="15.75" thickBot="1" x14ac:dyDescent="0.3"/>
    <row r="3" spans="1:6" ht="15.75" thickBot="1" x14ac:dyDescent="0.3">
      <c r="A3" s="418" t="s">
        <v>309</v>
      </c>
      <c r="B3" s="419"/>
      <c r="C3" s="419"/>
      <c r="D3" s="419"/>
      <c r="E3" s="419"/>
      <c r="F3" s="420"/>
    </row>
    <row r="4" spans="1:6" ht="42.75" x14ac:dyDescent="0.25">
      <c r="A4" s="264" t="s">
        <v>144</v>
      </c>
      <c r="B4" s="265" t="s">
        <v>270</v>
      </c>
      <c r="C4" s="265" t="s">
        <v>305</v>
      </c>
      <c r="D4" s="265" t="s">
        <v>272</v>
      </c>
      <c r="E4" s="266" t="s">
        <v>273</v>
      </c>
      <c r="F4" s="268" t="s">
        <v>310</v>
      </c>
    </row>
    <row r="5" spans="1:6" x14ac:dyDescent="0.25">
      <c r="A5" s="261">
        <v>1</v>
      </c>
      <c r="B5" s="259" t="s">
        <v>323</v>
      </c>
      <c r="C5" s="257">
        <v>120</v>
      </c>
      <c r="D5" s="257">
        <v>1</v>
      </c>
      <c r="E5" s="304">
        <v>6870.25</v>
      </c>
      <c r="F5" s="305">
        <f>(E5/C5)*D5</f>
        <v>57.252083333333331</v>
      </c>
    </row>
    <row r="6" spans="1:6" x14ac:dyDescent="0.25">
      <c r="A6" s="261">
        <f t="shared" ref="A6:A7" si="0">A5+1</f>
        <v>2</v>
      </c>
      <c r="B6" s="259" t="s">
        <v>295</v>
      </c>
      <c r="C6" s="257">
        <v>60</v>
      </c>
      <c r="D6" s="257">
        <v>1</v>
      </c>
      <c r="E6" s="304">
        <v>1686.72</v>
      </c>
      <c r="F6" s="305">
        <f>(E6/C6)*D6</f>
        <v>28.112000000000002</v>
      </c>
    </row>
    <row r="7" spans="1:6" x14ac:dyDescent="0.25">
      <c r="A7" s="261">
        <f t="shared" si="0"/>
        <v>3</v>
      </c>
      <c r="B7" s="259" t="s">
        <v>296</v>
      </c>
      <c r="C7" s="257">
        <v>36</v>
      </c>
      <c r="D7" s="257">
        <v>1</v>
      </c>
      <c r="E7" s="304">
        <v>2316.66</v>
      </c>
      <c r="F7" s="305">
        <f>(E7/C7)*D7</f>
        <v>64.351666666666659</v>
      </c>
    </row>
    <row r="8" spans="1:6" ht="15.75" thickBot="1" x14ac:dyDescent="0.3">
      <c r="A8" s="269"/>
      <c r="B8" s="270" t="s">
        <v>12</v>
      </c>
      <c r="C8" s="271"/>
      <c r="D8" s="270"/>
      <c r="E8" s="272">
        <f>SUM(E5:E7)</f>
        <v>10873.63</v>
      </c>
      <c r="F8" s="273">
        <f>SUM(F5:F7)</f>
        <v>149.71574999999999</v>
      </c>
    </row>
    <row r="9" spans="1:6" ht="15.75" x14ac:dyDescent="0.25">
      <c r="A9" s="425" t="s">
        <v>311</v>
      </c>
      <c r="B9" s="426"/>
      <c r="C9" s="426"/>
      <c r="D9" s="426"/>
      <c r="E9" s="426"/>
      <c r="F9" s="277">
        <f>F8*12/2</f>
        <v>898.29449999999997</v>
      </c>
    </row>
    <row r="10" spans="1:6" ht="16.5" thickBot="1" x14ac:dyDescent="0.3">
      <c r="A10" s="416" t="s">
        <v>312</v>
      </c>
      <c r="B10" s="417"/>
      <c r="C10" s="417"/>
      <c r="D10" s="417"/>
      <c r="E10" s="417"/>
      <c r="F10" s="275">
        <f>F9/12</f>
        <v>74.857874999999993</v>
      </c>
    </row>
  </sheetData>
  <mergeCells count="3">
    <mergeCell ref="A3:F3"/>
    <mergeCell ref="A9:E9"/>
    <mergeCell ref="A10:E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 - Estimativa de Preço</vt:lpstr>
      <vt:lpstr>Custo por trabalhador</vt:lpstr>
      <vt:lpstr>Posto D-12x36</vt:lpstr>
      <vt:lpstr>Posto N-12x36</vt:lpstr>
      <vt:lpstr>Uniformes</vt:lpstr>
      <vt:lpstr>Materiais</vt:lpstr>
      <vt:lpstr>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Nilzete Silveira Lima Coelho</cp:lastModifiedBy>
  <dcterms:created xsi:type="dcterms:W3CDTF">2018-01-23T19:35:16Z</dcterms:created>
  <dcterms:modified xsi:type="dcterms:W3CDTF">2024-07-10T13:08:00Z</dcterms:modified>
</cp:coreProperties>
</file>